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650" windowHeight="12825" tabRatio="868" activeTab="0"/>
  </bookViews>
  <sheets>
    <sheet name="თავფურცელ" sheetId="1" r:id="rId1"/>
    <sheet name="განმ.ბარათი" sheetId="2" r:id="rId2"/>
    <sheet name="კრებსიტი" sheetId="3" r:id="rId3"/>
    <sheet name="სამშენ-მოსაპირკეთ" sheetId="4" r:id="rId4"/>
    <sheet name="El-sam." sheetId="5" r:id="rId5"/>
    <sheet name="სუსტი დენები" sheetId="6" r:id="rId6"/>
    <sheet name="HVAC" sheetId="7" r:id="rId7"/>
    <sheet name="Fire WC" sheetId="8" r:id="rId8"/>
    <sheet name="შიდა WC" sheetId="9" r:id="rId9"/>
    <sheet name="გარე WC " sheetId="10" r:id="rId10"/>
    <sheet name="გარე სამშენ-მოსაპირკეთ " sheetId="11" r:id="rId11"/>
    <sheet name="დამატებითი სამუშაოები " sheetId="12" r:id="rId12"/>
  </sheets>
  <externalReferences>
    <externalReference r:id="rId15"/>
  </externalReferences>
  <definedNames>
    <definedName name="_xlnm._FilterDatabase" localSheetId="4" hidden="1">'El-sam.'!$A$9:$S$132</definedName>
    <definedName name="_xlnm._FilterDatabase" localSheetId="7" hidden="1">'Fire WC'!$A$9:$S$90</definedName>
    <definedName name="_xlnm._FilterDatabase" localSheetId="9" hidden="1">'გარე WC '!$A$9:$S$44</definedName>
    <definedName name="_xlnm._FilterDatabase" localSheetId="10" hidden="1">'გარე სამშენ-მოსაპირკეთ '!$A$9:$O$208</definedName>
    <definedName name="_xlnm._FilterDatabase" localSheetId="3" hidden="1">'სამშენ-მოსაპირკეთ'!$A$9:$P$523</definedName>
    <definedName name="_xlnm._FilterDatabase" localSheetId="5" hidden="1">'სუსტი დენები'!$A$9:$S$38</definedName>
    <definedName name="_xlnm._FilterDatabase" localSheetId="8" hidden="1">'შიდა WC'!$A$9:$S$81</definedName>
    <definedName name="_xlnm.Print_Area" localSheetId="4">'El-sam.'!$A$1:$N$145</definedName>
    <definedName name="_xlnm.Print_Area" localSheetId="7">'Fire WC'!$A$1:$N$103</definedName>
    <definedName name="_xlnm.Print_Area" localSheetId="6">'HVAC'!$A$1:$N$126</definedName>
    <definedName name="_xlnm.Print_Area" localSheetId="1">'განმ.ბარათი'!$A$1:$M$16</definedName>
    <definedName name="_xlnm.Print_Area" localSheetId="9">'გარე WC '!$A$1:$N$57</definedName>
    <definedName name="_xlnm.Print_Area" localSheetId="10">'გარე სამშენ-მოსაპირკეთ '!$A$1:$N$213</definedName>
    <definedName name="_xlnm.Print_Area" localSheetId="0">'თავფურცელ'!$A$1:$N$29</definedName>
    <definedName name="_xlnm.Print_Area" localSheetId="2">'კრებსიტი'!$A$1:$F$25</definedName>
    <definedName name="_xlnm.Print_Area" localSheetId="3">'სამშენ-მოსაპირკეთ'!$A$1:$N$535</definedName>
    <definedName name="_xlnm.Print_Area" localSheetId="5">'სუსტი დენები'!$A$1:$N$51</definedName>
    <definedName name="_xlnm.Print_Area" localSheetId="8">'შიდა WC'!$A$1:$N$94</definedName>
    <definedName name="_xlnm.Print_Titles" localSheetId="4">'El-sam.'!$9:$9</definedName>
    <definedName name="_xlnm.Print_Titles" localSheetId="7">'Fire WC'!$9:$9</definedName>
    <definedName name="_xlnm.Print_Titles" localSheetId="6">'HVAC'!$9:$9</definedName>
    <definedName name="_xlnm.Print_Titles" localSheetId="9">'გარე WC '!$9:$9</definedName>
    <definedName name="_xlnm.Print_Titles" localSheetId="10">'გარე სამშენ-მოსაპირკეთ '!$9:$9</definedName>
    <definedName name="_xlnm.Print_Titles" localSheetId="3">'სამშენ-მოსაპირკეთ'!$9:$9</definedName>
    <definedName name="_xlnm.Print_Titles" localSheetId="5">'სუსტი დენები'!$9:$9</definedName>
    <definedName name="_xlnm.Print_Titles" localSheetId="8">'შიდა WC'!$9:$9</definedName>
    <definedName name="Summary" localSheetId="1">#REF!</definedName>
    <definedName name="Summary" localSheetId="0">#REF!</definedName>
    <definedName name="Summary" localSheetId="2">#REF!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<sst xmlns="http://schemas.openxmlformats.org/spreadsheetml/2006/main" count="2780" uniqueCount="860">
  <si>
    <t>#</t>
  </si>
  <si>
    <t>-</t>
  </si>
  <si>
    <t>12-8-1</t>
  </si>
  <si>
    <t>1-80-3</t>
  </si>
  <si>
    <t>6-1-1</t>
  </si>
  <si>
    <t>I</t>
  </si>
  <si>
    <t>II</t>
  </si>
  <si>
    <t>8-22-2</t>
  </si>
  <si>
    <t>12-8-5</t>
  </si>
  <si>
    <t>1-1</t>
  </si>
  <si>
    <t>8-3-2</t>
  </si>
  <si>
    <t xml:space="preserve"> </t>
  </si>
  <si>
    <t>1-22-9</t>
  </si>
  <si>
    <t>1-25-2</t>
  </si>
  <si>
    <t>1-118-11</t>
  </si>
  <si>
    <t>ლარი</t>
  </si>
  <si>
    <t>6-1-16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</si>
  <si>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</si>
  <si>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</si>
  <si>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9-14-5</t>
  </si>
  <si>
    <t>1-31-6</t>
  </si>
  <si>
    <t>6-12-4</t>
  </si>
  <si>
    <t>6-15-3</t>
  </si>
  <si>
    <t>6-16-1</t>
  </si>
  <si>
    <t>6-11-3</t>
  </si>
  <si>
    <t>6-15-9</t>
  </si>
  <si>
    <t>6-15-11</t>
  </si>
  <si>
    <t>12-10-1-2</t>
  </si>
  <si>
    <t>12-1-2</t>
  </si>
  <si>
    <t>8-15-1</t>
  </si>
  <si>
    <t>11-8-1-2</t>
  </si>
  <si>
    <t>11-36-3 gam.</t>
  </si>
  <si>
    <t>15-156-4
gamy.</t>
  </si>
  <si>
    <t xml:space="preserve">12-9-5 </t>
  </si>
  <si>
    <t xml:space="preserve">15-52-1 </t>
  </si>
  <si>
    <t>ხარჯთაღრიცხვა</t>
  </si>
  <si>
    <t>ლოკალური ხარჯთაღრიცხვა 1-1</t>
  </si>
  <si>
    <t>8-4-5</t>
  </si>
  <si>
    <t>srf. 14.2-20</t>
  </si>
  <si>
    <t>12-1-2     k=0.5</t>
  </si>
  <si>
    <t>ГЭСН 11-01-047-01.</t>
  </si>
  <si>
    <t>ქ. თბილისი, 2022 წელი</t>
  </si>
  <si>
    <t>სამშენებლო - მოსაპირკეთებელი სამუშაოები</t>
  </si>
  <si>
    <t>განმარტებითი ბარათი</t>
  </si>
  <si>
    <t xml:space="preserve">        სახარჯთაღრიცხვო დოკუმენტაცია შედგენილია მუშა ნახაზების საფუძველზე. </t>
  </si>
  <si>
    <t xml:space="preserve">       მთლიანმა სახარჯთაღრიცხვო ღირებულებამ შეადგინა:</t>
  </si>
  <si>
    <t>ლარი, მათ შორის დღგ:</t>
  </si>
  <si>
    <t xml:space="preserve">    სახარჯთაღრიცხვო დოკუმენტაცია საბაზრო ურთიერთობების პირობებში განსაზღვრავს მშენებლობის წინასწარ ღირებულებას და არ წარმოადგენს დამკვეთსა და მოიჯარეს შორის გადახდის საშუალებას. მათ შორის ანგარიშსწორება ხდება ფაქტიური დანახარჯების მიხედვით სათანადო დოკმენტაციის წარდგენით.  </t>
  </si>
  <si>
    <t xml:space="preserve">    გაუთვალისწინებელი ხარჯები გამოიყენება იმ სამუშაოებზე, რომელიც არ არის განსაზღვრული მშენებლობის ხელშეკრულებით, მათი ჩატარების აუცილებლობა გამოიკვეთება მშენებლობის პერიოდში და განისაზღვრება დამკვეთის მიერ, შესაბამისი აქტების გაფორმების შემდეგ დამკვეთის ხელმოწერით. </t>
  </si>
  <si>
    <t>ნორმატი–ვის ნომერი და შიფრი</t>
  </si>
  <si>
    <t>სამუშაოების და დანახარჯების დასახელება</t>
  </si>
  <si>
    <t>განზ. ერთ.</t>
  </si>
  <si>
    <t>კოეფ.</t>
  </si>
  <si>
    <t>რაოდენობა</t>
  </si>
  <si>
    <t>მასალა</t>
  </si>
  <si>
    <t>ხელფასი</t>
  </si>
  <si>
    <t>ტრანსპორტი (მექანიზმები)</t>
  </si>
  <si>
    <t>სულ, ჯამი:</t>
  </si>
  <si>
    <t>განზ. ერთ-ზე</t>
  </si>
  <si>
    <t>სულ</t>
  </si>
  <si>
    <t>მიწის სამუშაოები</t>
  </si>
  <si>
    <t>შრომის დანახარჯები</t>
  </si>
  <si>
    <t>ღორღის ფენის მოწყობა, დატკეპვნით</t>
  </si>
  <si>
    <t>სამუშაოს დასახელება</t>
  </si>
  <si>
    <t>ღირებულება, ლარი</t>
  </si>
  <si>
    <t>დანადგარები, ავეჯი, ინვენტარი</t>
  </si>
  <si>
    <t>მ.შ. ხელფასი</t>
  </si>
  <si>
    <t>გაუთვალისწინებელი ხარჯები</t>
  </si>
  <si>
    <t>ჯამი</t>
  </si>
  <si>
    <t>დღგ</t>
  </si>
  <si>
    <t>სულ, კრებსითი ხარჯთაღრიცხვით:</t>
  </si>
  <si>
    <r>
      <t xml:space="preserve">    ხარჯთაღრიცხვაში  გათვალისწინებულია ზედნადები ხარჯები - </t>
    </r>
    <r>
      <rPr>
        <b/>
        <sz val="11"/>
        <rFont val="Sylfaen"/>
        <family val="1"/>
      </rPr>
      <t xml:space="preserve">10 %; </t>
    </r>
    <r>
      <rPr>
        <sz val="11"/>
        <rFont val="Sylfaen"/>
        <family val="1"/>
      </rPr>
      <t xml:space="preserve">გეგმიური დაგროვება - </t>
    </r>
    <r>
      <rPr>
        <b/>
        <sz val="11"/>
        <rFont val="Sylfaen"/>
        <family val="1"/>
      </rPr>
      <t>8</t>
    </r>
    <r>
      <rPr>
        <sz val="11"/>
        <rFont val="Sylfaen"/>
        <family val="1"/>
      </rPr>
      <t xml:space="preserve"> %; რეზერვი გაუთვალისწინებელ სამუშაოებზე - </t>
    </r>
    <r>
      <rPr>
        <b/>
        <sz val="11"/>
        <rFont val="Sylfaen"/>
        <family val="1"/>
      </rPr>
      <t>5</t>
    </r>
    <r>
      <rPr>
        <sz val="11"/>
        <rFont val="Sylfaen"/>
        <family val="1"/>
      </rPr>
      <t xml:space="preserve"> % და დამატებითი ღირებულების გადასახდი - </t>
    </r>
    <r>
      <rPr>
        <b/>
        <sz val="11"/>
        <rFont val="Sylfaen"/>
        <family val="1"/>
      </rPr>
      <t>18</t>
    </r>
    <r>
      <rPr>
        <sz val="11"/>
        <rFont val="Sylfaen"/>
        <family val="1"/>
      </rPr>
      <t xml:space="preserve"> %. </t>
    </r>
  </si>
  <si>
    <r>
      <t>ექსკავატორი ცაცვით 0.65 მ</t>
    </r>
    <r>
      <rPr>
        <vertAlign val="superscript"/>
        <sz val="11"/>
        <rFont val="Sylfaen"/>
        <family val="1"/>
      </rPr>
      <t>3</t>
    </r>
  </si>
  <si>
    <r>
      <t>მ</t>
    </r>
    <r>
      <rPr>
        <b/>
        <vertAlign val="superscript"/>
        <sz val="10"/>
        <rFont val="Sylfaen"/>
        <family val="1"/>
      </rPr>
      <t>3</t>
    </r>
  </si>
  <si>
    <r>
      <t>მ</t>
    </r>
    <r>
      <rPr>
        <vertAlign val="superscript"/>
        <sz val="10"/>
        <rFont val="Sylfaen"/>
        <family val="1"/>
      </rPr>
      <t>3</t>
    </r>
  </si>
  <si>
    <t>მანქ/სთ</t>
  </si>
  <si>
    <t>III კატ. გრუნტის დამუშავება ხელით, მექანიკური დამუშავების შემდეგ</t>
  </si>
  <si>
    <t>სხვა მასალები</t>
  </si>
  <si>
    <t>საქსოვი მავთული</t>
  </si>
  <si>
    <t>ყალიბის ფარი</t>
  </si>
  <si>
    <t>ხის მასალა</t>
  </si>
  <si>
    <t>ტონა</t>
  </si>
  <si>
    <t>სამშენებლო სამუშაოები</t>
  </si>
  <si>
    <t>ბეტონი B7.5</t>
  </si>
  <si>
    <t>ბეტონი B25</t>
  </si>
  <si>
    <r>
      <t xml:space="preserve">ბეტონის მომზადების მოწყობა </t>
    </r>
    <r>
      <rPr>
        <sz val="10"/>
        <rFont val="Sylfaen"/>
        <family val="1"/>
      </rPr>
      <t xml:space="preserve">(100 მმ. სისქის) </t>
    </r>
  </si>
  <si>
    <r>
      <t>მ</t>
    </r>
    <r>
      <rPr>
        <vertAlign val="superscript"/>
        <sz val="10"/>
        <rFont val="Sylfaen"/>
        <family val="1"/>
      </rPr>
      <t>2</t>
    </r>
  </si>
  <si>
    <r>
      <t>მ</t>
    </r>
    <r>
      <rPr>
        <b/>
        <vertAlign val="superscript"/>
        <sz val="10"/>
        <rFont val="Sylfaen"/>
        <family val="1"/>
      </rPr>
      <t>2</t>
    </r>
  </si>
  <si>
    <t>ელექტროდი</t>
  </si>
  <si>
    <t>საძირკვლების ჰიდროიზოლაციის მოწყობა</t>
  </si>
  <si>
    <t>მონოლითური რკინაბეტონის პარაპეტის სარტყელის მოწყობა</t>
  </si>
  <si>
    <t>კედლები</t>
  </si>
  <si>
    <t>ცალი</t>
  </si>
  <si>
    <t>ქვიშა - ცემენტის ხსნარი მ150</t>
  </si>
  <si>
    <t>ქვიშა</t>
  </si>
  <si>
    <t>ცემენტი</t>
  </si>
  <si>
    <t>მცირე ზომის საკედლე ბლოკი</t>
  </si>
  <si>
    <t>სულ, სამშენებლო სამუშაოები:</t>
  </si>
  <si>
    <t>მოსაპირკეთებელი სამუშაოები</t>
  </si>
  <si>
    <t>ფასადი</t>
  </si>
  <si>
    <t>საბაზრო</t>
  </si>
  <si>
    <t>სახურავზე, სავენტილაციო შახტის თუნუქის ქუდების მოწყობა</t>
  </si>
  <si>
    <t>პარაპეტის მოწყობა შეღებილი თუნუქის ფურცლებით</t>
  </si>
  <si>
    <t xml:space="preserve">  </t>
  </si>
  <si>
    <t>იატაკები</t>
  </si>
  <si>
    <t>გრძ.მ.</t>
  </si>
  <si>
    <t>პრაიმერი</t>
  </si>
  <si>
    <t>ლინოკრომის ქვედა ფენა</t>
  </si>
  <si>
    <t>ლინოკრომის ზედა ფენა</t>
  </si>
  <si>
    <t>გაზი</t>
  </si>
  <si>
    <t xml:space="preserve"> დამათბუნებელი ფენის მოწყობა მოჭიმვის ქვეშ</t>
  </si>
  <si>
    <t>ქვიშა შავი</t>
  </si>
  <si>
    <t xml:space="preserve">ქვიშის გამასწორებელი ფენის მოწყობა, საშ. 12 სმ. სისქის. </t>
  </si>
  <si>
    <t>სახურავის ჰიდროიზოლაცია ლინოკრომის 1 ფენით</t>
  </si>
  <si>
    <t>სახურავის ჰიდროიზოლაცია ლინოკრომის 2 ფენით</t>
  </si>
  <si>
    <t>სახურავის გამასწორებელი მოჭიმვის მოწყობა ქვიშა - ცემენტის ხსნარით, საშ. სისქით 30 მმ.</t>
  </si>
  <si>
    <t>სახურავის გამასწორებელი მოჭიმვის მოწყობა ქვიშა - ცემენტის ხსნარით, საშ. სისქით 40 მმ.</t>
  </si>
  <si>
    <t>26-8-16 k=0.05</t>
  </si>
  <si>
    <t>ფუგა (შემავსებელი)</t>
  </si>
  <si>
    <t xml:space="preserve"> წებოცემენტი</t>
  </si>
  <si>
    <t>კერამოგრანიტი</t>
  </si>
  <si>
    <t xml:space="preserve"> შეღებილი თუნუქის წყალმიმღები ძაბრების მონტაჟი 150მმ. დიამეტრის მილისთვის</t>
  </si>
  <si>
    <t xml:space="preserve">  შეღებილი თუნუქის საწვიმარი მილების მონტაჟი დიამეტრი 150მმ.</t>
  </si>
  <si>
    <t>ზედნადები ხარჯები</t>
  </si>
  <si>
    <t>მოგება</t>
  </si>
  <si>
    <t xml:space="preserve"> კერამოგრანიტი</t>
  </si>
  <si>
    <t>III კატ. გრუნტის დამუშავება ექსკავატორით და დატვირთვა ავტოთვითმცლელებზე</t>
  </si>
  <si>
    <t>გრუნტის უკუჩაყრა</t>
  </si>
  <si>
    <t>ბულდოზერი</t>
  </si>
  <si>
    <t>უკუჩაყრილი გრუნტის დატკეპვნა პნევმატური სატკეპნით, ფენებად</t>
  </si>
  <si>
    <t>პნევმატური სატკეპნი</t>
  </si>
  <si>
    <t>ავტოთვითმცლელი</t>
  </si>
  <si>
    <r>
      <t xml:space="preserve">შეღებილი თუნუქი </t>
    </r>
    <r>
      <rPr>
        <sz val="10"/>
        <rFont val="Sylfaen"/>
        <family val="1"/>
      </rPr>
      <t>(მინ. 0.60 მმ. სისქის)</t>
    </r>
  </si>
  <si>
    <r>
      <t xml:space="preserve">სატრანსპორტო ხარჯები </t>
    </r>
    <r>
      <rPr>
        <sz val="10"/>
        <rFont val="Sylfaen"/>
        <family val="1"/>
      </rPr>
      <t>(მასალების ღირებულებიდან)</t>
    </r>
  </si>
  <si>
    <t>მუშაობა ნაყარში III კატ. გრუნტზე</t>
  </si>
  <si>
    <t>მომზადების მოწყობა ქვიშა - ხრეშოვანი ნარევით, ფენებად დატკეპნით</t>
  </si>
  <si>
    <t>ქვიშა - ხრეშოვანი ნარევი</t>
  </si>
  <si>
    <t>ღორღი</t>
  </si>
  <si>
    <t>კგ.</t>
  </si>
  <si>
    <t>ქვიშა - ცემენტის ხსნარი მ100</t>
  </si>
  <si>
    <r>
      <t xml:space="preserve">ჯამი </t>
    </r>
    <r>
      <rPr>
        <sz val="11"/>
        <rFont val="Sylfaen"/>
        <family val="1"/>
      </rPr>
      <t xml:space="preserve">(I+II) </t>
    </r>
  </si>
  <si>
    <t>სულ, თავების ჯამი:</t>
  </si>
  <si>
    <t>ანტიკოროზიული საღებავი</t>
  </si>
  <si>
    <t>საღებავის გამხსნელი</t>
  </si>
  <si>
    <t>ფასადის საღებავი</t>
  </si>
  <si>
    <t>ფასადის გრუნტი</t>
  </si>
  <si>
    <t>ღიობები</t>
  </si>
  <si>
    <r>
      <t>ლითონის კარები</t>
    </r>
    <r>
      <rPr>
        <sz val="10"/>
        <rFont val="Sylfaen"/>
        <family val="1"/>
      </rPr>
      <t xml:space="preserve"> (აქსესუარებით)</t>
    </r>
  </si>
  <si>
    <t>ფასადის მოჩარჩოება</t>
  </si>
  <si>
    <t>ღარის სამაგრი</t>
  </si>
  <si>
    <t>სამაგრი ჭანჭიკი</t>
  </si>
  <si>
    <t>მუხლი</t>
  </si>
  <si>
    <t>ინვენტარული ხარაჩოების მოწყობა და დაშლა</t>
  </si>
  <si>
    <t>ხარაჩოების ლითონის დეტალი</t>
  </si>
  <si>
    <t>ხარაჩოების ხის დეტალი</t>
  </si>
  <si>
    <t>ფენილის ფარი</t>
  </si>
  <si>
    <t>იატაკებზე მოჭიმვის მოწყობა ქვიშა - ცემენტის ხსნარით, სისქით 40 მმ.</t>
  </si>
  <si>
    <t>სულ, მოსაპირკეთებელი სამუშაოები</t>
  </si>
  <si>
    <t>თხევადი იზოლაცია</t>
  </si>
  <si>
    <t>XPS - 50მმ.</t>
  </si>
  <si>
    <r>
      <t>გრუნტის გატანა ავტოთვითმცლელებით 20 კმ. მდე მანძილზე</t>
    </r>
    <r>
      <rPr>
        <b/>
        <sz val="10"/>
        <rFont val="Sylfaen"/>
        <family val="1"/>
      </rPr>
      <t xml:space="preserve"> </t>
    </r>
    <r>
      <rPr>
        <sz val="10"/>
        <color indexed="10"/>
        <rFont val="Sylfaen"/>
        <family val="1"/>
      </rPr>
      <t>(დაზუსტდეს)</t>
    </r>
  </si>
  <si>
    <t>მონოლითური რკინაბეტონის ზღუდარების მოწყობა</t>
  </si>
  <si>
    <t>კრებსითი ხარჯთაღრიცხვა</t>
  </si>
  <si>
    <t xml:space="preserve">   ცალკეული სამუშაოთა ღირებულების დასადგენად გამოყენებულია 1984 წლის სახარჯთაღრიცხვო ნორმატივები და  სამშენებლო რესურსების საბაზრო ფასები.  </t>
  </si>
  <si>
    <t>1-2</t>
  </si>
  <si>
    <t>1-3</t>
  </si>
  <si>
    <t>ელექტროსამონტაჟო სამუშაოები</t>
  </si>
  <si>
    <t>1-4</t>
  </si>
  <si>
    <t>1-5</t>
  </si>
  <si>
    <t>1-6</t>
  </si>
  <si>
    <t>1-7</t>
  </si>
  <si>
    <t>1-8</t>
  </si>
  <si>
    <t>წყალსადენ-კანალიზაციის გარე ქსელების მოწყობის სამუშაოები</t>
  </si>
  <si>
    <t>გათბობა-გაგრილების სისტემების მოწყობის სამუშაოები</t>
  </si>
  <si>
    <t>ტერიტორიის კეთილმოწყობის სამუშაოები</t>
  </si>
  <si>
    <t>საბავშვო ბაღის აშენების პროექტი სოფელ იორმუღანლოში</t>
  </si>
  <si>
    <t>6-1-5</t>
  </si>
  <si>
    <t>1.1-11</t>
  </si>
  <si>
    <t>1.1-10</t>
  </si>
  <si>
    <t>4.1-343</t>
  </si>
  <si>
    <t>5.1-138</t>
  </si>
  <si>
    <t>5.1-8</t>
  </si>
  <si>
    <t>არმატურა A240C Ø8 მმ.</t>
  </si>
  <si>
    <t>არმატურა A500C Ø10 მმ.</t>
  </si>
  <si>
    <t>არმატურა A500C Ø14 მმ.</t>
  </si>
  <si>
    <t>არმატურა A500C Ø20 მმ.</t>
  </si>
  <si>
    <t>არმატურა A500C Ø22 მმ.</t>
  </si>
  <si>
    <r>
      <t>მონოლითური რ/ბ საძირკვლის ფილის და სვეტების ამონაშვერების მოწყობა</t>
    </r>
    <r>
      <rPr>
        <b/>
        <sz val="10"/>
        <color indexed="10"/>
        <rFont val="Sylfaen"/>
        <family val="1"/>
      </rPr>
      <t xml:space="preserve"> </t>
    </r>
    <r>
      <rPr>
        <sz val="10"/>
        <color indexed="10"/>
        <rFont val="Sylfaen"/>
        <family val="1"/>
      </rPr>
      <t>(400 მმ. სისქის; -0.100 ნიშნულზე)</t>
    </r>
  </si>
  <si>
    <t>ბეტონი B25 W6</t>
  </si>
  <si>
    <t>არმატურა A500C Ø12 მმ.</t>
  </si>
  <si>
    <t>არმატურა A500C Ø18 მმ.</t>
  </si>
  <si>
    <r>
      <t>მონოლითური რკინაბეტონის სართულშუა გადახურვის ფილების მოწყობა</t>
    </r>
    <r>
      <rPr>
        <sz val="11"/>
        <rFont val="Sylfaen"/>
        <family val="1"/>
      </rPr>
      <t xml:space="preserve"> </t>
    </r>
    <r>
      <rPr>
        <sz val="10"/>
        <color indexed="10"/>
        <rFont val="Sylfaen"/>
        <family val="1"/>
      </rPr>
      <t>(+3.820 ნიშნულზე)</t>
    </r>
  </si>
  <si>
    <r>
      <t>მონოლითური რკინაბეტონის სართულშუა გადახურვის ფილების მოწყობა</t>
    </r>
    <r>
      <rPr>
        <sz val="11"/>
        <rFont val="Sylfaen"/>
        <family val="1"/>
      </rPr>
      <t xml:space="preserve"> </t>
    </r>
    <r>
      <rPr>
        <sz val="10"/>
        <color indexed="10"/>
        <rFont val="Sylfaen"/>
        <family val="1"/>
      </rPr>
      <t>(+5.300 ნიშნულზე)</t>
    </r>
  </si>
  <si>
    <r>
      <t xml:space="preserve">მონოლითური რკინაბეტონის რიგელების მოწყობა </t>
    </r>
    <r>
      <rPr>
        <sz val="10"/>
        <rFont val="Sylfaen"/>
        <family val="1"/>
      </rPr>
      <t xml:space="preserve"> </t>
    </r>
    <r>
      <rPr>
        <sz val="10"/>
        <color indexed="10"/>
        <rFont val="Sylfaen"/>
        <family val="1"/>
      </rPr>
      <t>(+3.820 ნიშნულზე)</t>
    </r>
  </si>
  <si>
    <r>
      <t xml:space="preserve">მონოლითური რკინაბეტონის რიგელების მოწყობა </t>
    </r>
    <r>
      <rPr>
        <sz val="10"/>
        <rFont val="Sylfaen"/>
        <family val="1"/>
      </rPr>
      <t xml:space="preserve"> </t>
    </r>
    <r>
      <rPr>
        <sz val="10"/>
        <color indexed="10"/>
        <rFont val="Sylfaen"/>
        <family val="1"/>
      </rPr>
      <t>(+5.300 ნიშნულზე)</t>
    </r>
  </si>
  <si>
    <t xml:space="preserve">სახურავი </t>
  </si>
  <si>
    <t>sabazro</t>
  </si>
  <si>
    <t>10-20-1</t>
  </si>
  <si>
    <t>_</t>
  </si>
  <si>
    <t xml:space="preserve">  მაღალი ხარისხის ალუმინის ფანჯრები RAL7016</t>
  </si>
  <si>
    <t xml:space="preserve">  მაღალი ხარისხის ალუმინის კარები RAL7016</t>
  </si>
  <si>
    <t xml:space="preserve">  მაღალი ხარისხის ალუმინის ვიტრაჟები RAL7016</t>
  </si>
  <si>
    <r>
      <t xml:space="preserve">  მაღალი ხარისხის ალუმინის კარების მოწყობა მინაპაკეტით </t>
    </r>
    <r>
      <rPr>
        <sz val="10"/>
        <color indexed="10"/>
        <rFont val="Sylfaen"/>
        <family val="1"/>
      </rPr>
      <t xml:space="preserve">(კ1; კ2)  </t>
    </r>
  </si>
  <si>
    <r>
      <t>m</t>
    </r>
    <r>
      <rPr>
        <b/>
        <vertAlign val="superscript"/>
        <sz val="10"/>
        <rFont val="Sylfaen"/>
        <family val="1"/>
      </rPr>
      <t>3</t>
    </r>
  </si>
  <si>
    <t>9-7-1 gam.</t>
  </si>
  <si>
    <t>1.3-27</t>
  </si>
  <si>
    <t>1.5p23</t>
  </si>
  <si>
    <t>1.10-20</t>
  </si>
  <si>
    <t>15-164-7</t>
  </si>
  <si>
    <t>ლითონის კონსტრუქციების მოწყობა</t>
  </si>
  <si>
    <t>ლითონის კონსტრუქციების შეღებვა ანტიკოროზიული საღებავით</t>
  </si>
  <si>
    <t>46-5</t>
  </si>
  <si>
    <t>ანკერების მოწყობა</t>
  </si>
  <si>
    <t>ჭანჭიკი</t>
  </si>
  <si>
    <t>ალუმინის კაბელი NA2XH 4x240</t>
  </si>
  <si>
    <t>მეტრი</t>
  </si>
  <si>
    <t>სპილენძის კაბელი N2XH 1x120</t>
  </si>
  <si>
    <t>ალუმინის კაბელი N2XH 5x35</t>
  </si>
  <si>
    <t>სპილენძის კაბელი N2XH 5x10</t>
  </si>
  <si>
    <t>სპილენძის კაბელი N2XH 5x6</t>
  </si>
  <si>
    <t>სპილენძის კაბელი N2XH 5x2.5</t>
  </si>
  <si>
    <t>სპილენძის კაბელი N2XH 10x1.5</t>
  </si>
  <si>
    <t>სპილენძის კაბელი N2XH 7x1.5</t>
  </si>
  <si>
    <t>სპილენძის კაბელი N2XH 5x1.5</t>
  </si>
  <si>
    <t>სპილენძის კაბელი N2XH 3x6</t>
  </si>
  <si>
    <t>სპილენძის კაბელი N2XH 3x4</t>
  </si>
  <si>
    <t>სპილენძის კაბელი N2XH 3x2.5</t>
  </si>
  <si>
    <t xml:space="preserve">სპილენძის კაბელი N2XH 3x1.5 </t>
  </si>
  <si>
    <t>ცეცხლმედეგი კაბელი NHXH-FE 180/E90  5x25</t>
  </si>
  <si>
    <t>ცეცხლმედეგი კაბელი NHXH-FE 180/E90  5x16</t>
  </si>
  <si>
    <t>ცეცხლმედეგი კაბელი NHXH-FE 180/E90  3x1.5</t>
  </si>
  <si>
    <t>ფურნიტურა</t>
  </si>
  <si>
    <t>ერთღილაკიანი ჩამრთველი</t>
  </si>
  <si>
    <t>ორღილაკიანი ჩამრთველი</t>
  </si>
  <si>
    <t>ერთღილაკიანი რევერსული გადამრთველი</t>
  </si>
  <si>
    <t>კედლის საშტეფსელო როზეტი დამიწების კონტაქტით</t>
  </si>
  <si>
    <t>ერთიანი ჩარჩო</t>
  </si>
  <si>
    <t>ორიანი ჩარჩო</t>
  </si>
  <si>
    <t>სამიანი ჩარჩო</t>
  </si>
  <si>
    <t>ოთხიანი ჩარჩო</t>
  </si>
  <si>
    <t>ხუთიანი ჩარჩო</t>
  </si>
  <si>
    <t>სააპარატო კოლოფი მუყაო თაბაშირში სამონტაჟოდ ჰალოგენისგან თავისუფალი</t>
  </si>
  <si>
    <t>გამანაწილებელი კოლოფი ჰალოგენისგან თავისუფალი 100X100 mm</t>
  </si>
  <si>
    <t>იატაკის ყუთი 16 მოდულიანი (8 ცალი საშტეფსელო როზეტის ტევადობის)</t>
  </si>
  <si>
    <t>იატაკის ყუთის საშტებსელო როზეტი დამიწების კონტაქტით</t>
  </si>
  <si>
    <t>ძალოვანი მოწყობილობები</t>
  </si>
  <si>
    <t>სამონტაჟო მასალა</t>
  </si>
  <si>
    <r>
      <t xml:space="preserve">რკინის პერფორირებული კაბელარხი </t>
    </r>
    <r>
      <rPr>
        <sz val="11"/>
        <color indexed="8"/>
        <rFont val="არია"/>
        <family val="0"/>
      </rPr>
      <t>500X100</t>
    </r>
    <r>
      <rPr>
        <sz val="11"/>
        <color indexed="8"/>
        <rFont val="AcadNusx"/>
        <family val="0"/>
      </rPr>
      <t xml:space="preserve"> მმ </t>
    </r>
  </si>
  <si>
    <r>
      <t xml:space="preserve">რკინის პერფორირებული კაბელარხი </t>
    </r>
    <r>
      <rPr>
        <sz val="11"/>
        <color indexed="8"/>
        <rFont val="არია"/>
        <family val="0"/>
      </rPr>
      <t>500X100</t>
    </r>
    <r>
      <rPr>
        <sz val="11"/>
        <color indexed="8"/>
        <rFont val="AcadNusx"/>
        <family val="0"/>
      </rPr>
      <t xml:space="preserve"> მმ სამაგრი კონსტრუქცია</t>
    </r>
  </si>
  <si>
    <r>
      <t xml:space="preserve">რკინის პერფორირებული კაბელარხი </t>
    </r>
    <r>
      <rPr>
        <sz val="11"/>
        <color indexed="8"/>
        <rFont val="არია"/>
        <family val="0"/>
      </rPr>
      <t>150X100</t>
    </r>
    <r>
      <rPr>
        <sz val="11"/>
        <color indexed="8"/>
        <rFont val="AcadNusx"/>
        <family val="0"/>
      </rPr>
      <t xml:space="preserve"> მმ </t>
    </r>
  </si>
  <si>
    <r>
      <t xml:space="preserve">რკინის პერფორირებული კაბელარხი </t>
    </r>
    <r>
      <rPr>
        <sz val="11"/>
        <color indexed="8"/>
        <rFont val="არია"/>
        <family val="0"/>
      </rPr>
      <t>150X100</t>
    </r>
    <r>
      <rPr>
        <sz val="11"/>
        <color indexed="8"/>
        <rFont val="AcadNusx"/>
        <family val="0"/>
      </rPr>
      <t xml:space="preserve"> მმ სამაგრი კონსტრუქცია</t>
    </r>
  </si>
  <si>
    <r>
      <t xml:space="preserve">რკინის პერფორირებული კაბელარხი </t>
    </r>
    <r>
      <rPr>
        <sz val="11"/>
        <color indexed="8"/>
        <rFont val="არია"/>
        <family val="0"/>
      </rPr>
      <t>100X100</t>
    </r>
    <r>
      <rPr>
        <sz val="11"/>
        <color indexed="8"/>
        <rFont val="AcadNusx"/>
        <family val="0"/>
      </rPr>
      <t xml:space="preserve"> მმ </t>
    </r>
  </si>
  <si>
    <r>
      <t xml:space="preserve">რკინის პერფორირებული კაბელარხი </t>
    </r>
    <r>
      <rPr>
        <sz val="11"/>
        <color indexed="8"/>
        <rFont val="არია"/>
        <family val="0"/>
      </rPr>
      <t>100X100</t>
    </r>
    <r>
      <rPr>
        <sz val="11"/>
        <color indexed="8"/>
        <rFont val="AcadNusx"/>
        <family val="0"/>
      </rPr>
      <t xml:space="preserve"> მმ სამაგრი კონსტრუქცია</t>
    </r>
  </si>
  <si>
    <r>
      <t xml:space="preserve">საინსტალაციო გოფრი ჰალოგენისგან თავისუფალი </t>
    </r>
    <r>
      <rPr>
        <sz val="11"/>
        <rFont val="Calibri"/>
        <family val="2"/>
      </rPr>
      <t>Ø 16 მმ</t>
    </r>
  </si>
  <si>
    <r>
      <t xml:space="preserve">საინსტალაციო გოფრი ჰალოგენისგან თავისუფალი </t>
    </r>
    <r>
      <rPr>
        <sz val="11"/>
        <rFont val="Calibri"/>
        <family val="2"/>
      </rPr>
      <t>Ø 20 მმ</t>
    </r>
  </si>
  <si>
    <r>
      <t xml:space="preserve">საინსტალაციო გოფრი ჰალოგენისგან თავისუფალი </t>
    </r>
    <r>
      <rPr>
        <sz val="11"/>
        <rFont val="Calibri"/>
        <family val="2"/>
      </rPr>
      <t>Ø 40 მმ</t>
    </r>
  </si>
  <si>
    <t>გოფრის ხამუთი დუბელ-შურუპით</t>
  </si>
  <si>
    <t>DB.01</t>
  </si>
  <si>
    <t xml:space="preserve">ორ პოზიციანი გადამრთველი </t>
  </si>
  <si>
    <t xml:space="preserve">დიფ. რელე ოთხპოლუსა RCD ტიპის A- 40/4/ 0,03 ა </t>
  </si>
  <si>
    <t>დნობადი მცველი 6ა</t>
  </si>
  <si>
    <t>დნობადი მცველების ბუდე სამპოლუსა 32ა</t>
  </si>
  <si>
    <t>ავტომატური ამომრთველი MCB ტიპის ერთ პოლუსა 20/1/C 10კა</t>
  </si>
  <si>
    <t>ავტომატური ამომრთველი MCB ტიპის სამ პოლუსა 50/3/C 10კა</t>
  </si>
  <si>
    <t>ავტომატური ამომრთველი MCCB ტიპის სამ პოლუსა 80ა 18კა</t>
  </si>
  <si>
    <t>კონტაქტორი მოდულური ორპოლუსა 2 ნ.ღ. კონტაქტით. 230 ვ 20ა</t>
  </si>
  <si>
    <t>ავტომატური ამომრთველი MCB ტიპის ერთ პოლუსა 10/1/C 10კა</t>
  </si>
  <si>
    <t xml:space="preserve">დიფ დაცვის ავტომატური ამომრთველი RCCB ტიპის ოთხ პოლუსა A- C32/4/ 0,03 ა </t>
  </si>
  <si>
    <t>ავტომატური ამომრთველი MCB ტიპის ერთ პოლუსა 16/1/C 10კა</t>
  </si>
  <si>
    <t>დნობადი მცველი 80ა</t>
  </si>
  <si>
    <t>დნობადი მცველების ბუდე სამპოლუსა 125ა</t>
  </si>
  <si>
    <t>კომბინირებული განმუხტველი B+C კატეგორია 12,5 კა</t>
  </si>
  <si>
    <t>ავტომატური ამომრთველი MCB ტიპის სამ პოლუსა 40/3/C 10კა</t>
  </si>
  <si>
    <t xml:space="preserve">საინდიკაციო ლედ ნათურა  (მწვანე) </t>
  </si>
  <si>
    <t xml:space="preserve">დიფ დაცვის ავტომატური ამომრთველი RCCB ტიპის ორ პოლუსა A- C10/2/ 0,03 ა </t>
  </si>
  <si>
    <t>ავტომატური ამომრთველი MCCB ტიპის სამ პოლუსა 100ა 18კა დისტანციურად გათიშვის სასიგნალო კონტაქტით 24-30 ვ</t>
  </si>
  <si>
    <t>ავტომატური ამომრთველი MCCB ტიპის სამ პოლუსა 400ა 36კა</t>
  </si>
  <si>
    <t>ელ. კარადა დასადგმელი 2006*1456*450 მმ კომპლექტი IP43</t>
  </si>
  <si>
    <t>სალტის დამჭერი იზოლატორი ოთხ განყოფილებიანი 630ა</t>
  </si>
  <si>
    <t xml:space="preserve">სალტის დამჭერი იზოლატორი  ერთ განყოფილებიანი </t>
  </si>
  <si>
    <t>სპილენძის სალტე 30*10 მმ</t>
  </si>
  <si>
    <t>გრ.მ</t>
  </si>
  <si>
    <t>სპილენძის სალტე 20*10 მმ</t>
  </si>
  <si>
    <t>DBV.01</t>
  </si>
  <si>
    <t>გამანაწილებელი ბლოკი ოთხ პოლუსა 125ა</t>
  </si>
  <si>
    <t>გამთიშველი სამ პოლუსა 100ა</t>
  </si>
  <si>
    <t>დნობადი მცველების ბუდე სამ პოლუსა 32ა</t>
  </si>
  <si>
    <t>ავტომატური ამომრთველი MCB ტიპის სამ პოლუსა 10/3/C  10კა</t>
  </si>
  <si>
    <t>ავტომატური ამომრთველი MCB ტიპის სამ პოლუსა 32/3/C  10კა</t>
  </si>
  <si>
    <t>ავტომატური ამომრთველი MCB ტიპის ერთ პოლუსა 10/1/C  10კა</t>
  </si>
  <si>
    <t>ავტომატური ამომრთველი MCB ტიპის ერთ პოლუსა 20/1/C  10კა</t>
  </si>
  <si>
    <t>დინრეიკა 37*7,5 მმ</t>
  </si>
  <si>
    <t>პლასმასის კაბელ არხი 60*40 მმ</t>
  </si>
  <si>
    <t xml:space="preserve">ელ.კარადა გ/მ კომპლექტი  500*550*215 მმ IP44 </t>
  </si>
  <si>
    <t>DBG.01</t>
  </si>
  <si>
    <t xml:space="preserve">ელ.კარადა გ/მ კომპლექტი  512*297*119 მმ IP41 </t>
  </si>
  <si>
    <t>ავტომატური ამომრთველი ერთ პოლუსა MCB 10/1/C  10kA</t>
  </si>
  <si>
    <t>ავტომატური ამომრთველი სამ პოლუსა MCB 63/3/C  10kA</t>
  </si>
  <si>
    <t xml:space="preserve">გამთიშველი სამ პოლუსა მოდულური  80ა </t>
  </si>
  <si>
    <t>გამანაწილებელი ბლოკი ოთხ პოლუსა 80ა</t>
  </si>
  <si>
    <t>DBP.01</t>
  </si>
  <si>
    <t xml:space="preserve">ელ.კარადა გ/მ კომპლექტი  700*500*200 მმ IP44 </t>
  </si>
  <si>
    <t xml:space="preserve">გამთიშველი სამ პოლუსა მოდულური  63ა </t>
  </si>
  <si>
    <t>ავტომატური ამომრთველი MCB ტიპის ერთ პოლუსა 16/1/C  10კა</t>
  </si>
  <si>
    <t>ავტომატური ამომრთველი MCB ტიპის სამ პოლუსა 16/3/C  10კა</t>
  </si>
  <si>
    <t xml:space="preserve">დიფ დაცვის ავტომატური ამომრთველი RCCB ტიპის ორ პოლუსა A- C16/2/ 0,03 ა </t>
  </si>
  <si>
    <t>კონტაქტორი მოდულური ორპოლუსა 2 ნ.ღ. კონტაქტით. 230 ვ 25ა</t>
  </si>
  <si>
    <t>სანათები</t>
  </si>
  <si>
    <t>სანათი 22w</t>
  </si>
  <si>
    <t>ამსტრონგის სანათი  40w</t>
  </si>
  <si>
    <t>სანათი 28w</t>
  </si>
  <si>
    <t>ლამპიონი 31w</t>
  </si>
  <si>
    <t>ლენტური სანათი</t>
  </si>
  <si>
    <t>ლენტური სანათის კვების ბლოკი 100w</t>
  </si>
  <si>
    <t>ლენტური სანათის კვების ბლოკი 500w</t>
  </si>
  <si>
    <t>კედლის ბრა 20w</t>
  </si>
  <si>
    <t>ჭერის ავარიული სანათი 3w (აკუმულიატორით)</t>
  </si>
  <si>
    <t>კედლის ავარიული სანათი 3w (აკუმულიატორით)</t>
  </si>
  <si>
    <t>საევაკუაციო სანათი ისრით მაღლა 6w</t>
  </si>
  <si>
    <t>საევაკუაციო სანათი ისრით დაბლა 6w</t>
  </si>
  <si>
    <t xml:space="preserve">  დამიწების მოწყობა</t>
  </si>
  <si>
    <t>ზოლოვანას ჯვარედინი შემაერთებელი</t>
  </si>
  <si>
    <t xml:space="preserve">ექვიპოტენციალური სალტე </t>
  </si>
  <si>
    <t>დამიწების ღერო 20  მმ  3მ</t>
  </si>
  <si>
    <t>სარევიზიო ჭა 300*300 მმ</t>
  </si>
  <si>
    <t>გალვანიზირებული ზოლოვანა 40*4 მმ</t>
  </si>
  <si>
    <t>სახანძრო მაუწყებლობის სისტემა</t>
  </si>
  <si>
    <t>აკუმულიატორი (12v 17a)</t>
  </si>
  <si>
    <t>სამისამართო საგანგაშო ღილაკი</t>
  </si>
  <si>
    <t>სამისამართო სირენა-სტრობით</t>
  </si>
  <si>
    <t>სამისამართო მოდული IOM</t>
  </si>
  <si>
    <r>
      <t xml:space="preserve">რკინის კარადა </t>
    </r>
    <r>
      <rPr>
        <sz val="10"/>
        <rFont val="Arial"/>
        <family val="2"/>
      </rPr>
      <t>50x40x20</t>
    </r>
    <r>
      <rPr>
        <sz val="10"/>
        <rFont val="Calibri"/>
        <family val="2"/>
      </rPr>
      <t xml:space="preserve"> სმ</t>
    </r>
  </si>
  <si>
    <t>24 v რელე</t>
  </si>
  <si>
    <t>25 v კვების ბლოკი</t>
  </si>
  <si>
    <t>სახანძრო მართვის პანელი ერთ შლეიფზე</t>
  </si>
  <si>
    <t>კაბელი JE-H(St)H 2x1.5 E30</t>
  </si>
  <si>
    <t>ვიდეო მეთვალყურეობა</t>
  </si>
  <si>
    <t>IP POE შიდა მონტაჟის ფიქსირებული კამერა</t>
  </si>
  <si>
    <t>IP POE  გარე მონტაჟის ფიქსირებული კამერა</t>
  </si>
  <si>
    <t>ვიდეო ჩამწერი NVR 64CH, ორი მყარი დისკის მხარდაჭერით</t>
  </si>
  <si>
    <t>ქსელის კომუტატორი 48 პორტიანი  POE</t>
  </si>
  <si>
    <t>მყარი დისკი 8 ტერაბაიტიანი</t>
  </si>
  <si>
    <t>პაჩპანელი 24 პორტიანი</t>
  </si>
  <si>
    <t>Smart POE Switch 8 port 100/1000 MB</t>
  </si>
  <si>
    <t>კაბელი  FTP Cat 5e</t>
  </si>
  <si>
    <t>საკომუნიკაციო რეკი 19' 600x800 42 U გაგრილების ვენტილატორით PDU მოდული (8P) 2 ცალი. შესაბამისი რა-ბა კაბელ ორგანაიზერი.</t>
  </si>
  <si>
    <t>კომპ</t>
  </si>
  <si>
    <t>ქსელის როზეტი RJ45 CAT5 კედლის</t>
  </si>
  <si>
    <t>როზეტი RJ45 CAT5 იატაკის კორობის</t>
  </si>
  <si>
    <t>პაჩპანელი 24 პორტიანი CAT5 e</t>
  </si>
  <si>
    <t>კაბელ ორგანაიზერი (ჰორიზონტალური)</t>
  </si>
  <si>
    <t xml:space="preserve">ქსელის კომუტატორი 16 პორტიანი </t>
  </si>
  <si>
    <t>კაბელი F/UTP Cat 5e</t>
  </si>
  <si>
    <t>ლოკალური ხარჯთაღრიცხვა 1-3</t>
  </si>
  <si>
    <t>კაბელები</t>
  </si>
  <si>
    <t>გრძ.მ</t>
  </si>
  <si>
    <t>კომპლ.</t>
  </si>
  <si>
    <t>jami</t>
  </si>
  <si>
    <t xml:space="preserve">ჯამი </t>
  </si>
  <si>
    <t xml:space="preserve">დიზელგენერატორი გარე მონტაჟის კონტეინერით რეზერვის ავტომატური გადამრთველით  დადგმული სიმძლავრე  40 კვა PRIME 400ვ/50ჰ. </t>
  </si>
  <si>
    <t>ლოკალური ხარჯთაღრიცხვა 1-2</t>
  </si>
  <si>
    <r>
      <t>gaTbobis  kedlis kondesaturi qvabi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110-115KV  </t>
    </r>
    <r>
      <rPr>
        <sz val="8"/>
        <color indexed="8"/>
        <rFont val="Avaza"/>
        <family val="2"/>
      </rPr>
      <t xml:space="preserve"> sakvamuriT</t>
    </r>
  </si>
  <si>
    <t>c</t>
  </si>
  <si>
    <t>1000 LT</t>
  </si>
  <si>
    <t xml:space="preserve">moculobiTi ertkonturiani boileri  68kv </t>
  </si>
  <si>
    <r>
      <t xml:space="preserve">sacirkulacio tumbo CamxsnelebiT  </t>
    </r>
    <r>
      <rPr>
        <sz val="10"/>
        <color indexed="8"/>
        <rFont val="Arial"/>
        <family val="2"/>
      </rPr>
      <t xml:space="preserve"> G=10.0 m³/sT   H=</t>
    </r>
    <r>
      <rPr>
        <sz val="10"/>
        <color indexed="8"/>
        <rFont val="Avaza"/>
        <family val="2"/>
      </rPr>
      <t xml:space="preserve">7.0 m. </t>
    </r>
  </si>
  <si>
    <r>
      <t xml:space="preserve">sacirkulacio tumbo CamxsnelebiT  </t>
    </r>
    <r>
      <rPr>
        <sz val="10"/>
        <color indexed="8"/>
        <rFont val="Arial"/>
        <family val="2"/>
      </rPr>
      <t xml:space="preserve"> G=9.8 m³/sT   H=</t>
    </r>
    <r>
      <rPr>
        <sz val="10"/>
        <color indexed="8"/>
        <rFont val="Avaza"/>
        <family val="2"/>
      </rPr>
      <t xml:space="preserve">11.0 m. </t>
    </r>
  </si>
  <si>
    <r>
      <t xml:space="preserve">sacirkulacio tumbo CamxsnelebiT  </t>
    </r>
    <r>
      <rPr>
        <sz val="10"/>
        <color indexed="8"/>
        <rFont val="Arial"/>
        <family val="2"/>
      </rPr>
      <t xml:space="preserve"> G=1 m³/sT   H=</t>
    </r>
    <r>
      <rPr>
        <sz val="10"/>
        <color indexed="8"/>
        <rFont val="Avaza"/>
        <family val="2"/>
      </rPr>
      <t xml:space="preserve">4.0 m. </t>
    </r>
  </si>
  <si>
    <t>80 Lt</t>
  </si>
  <si>
    <t xml:space="preserve">safarToebeli WurWeli </t>
  </si>
  <si>
    <t>150 Lt</t>
  </si>
  <si>
    <t>foladis mili   Ø-20</t>
  </si>
  <si>
    <t>metri</t>
  </si>
  <si>
    <t>foladis mili   Ø-25</t>
  </si>
  <si>
    <t>foladis mili   Ø-32</t>
  </si>
  <si>
    <t>foladis mili   Ø-50</t>
  </si>
  <si>
    <t>foladis mili   Ø-90</t>
  </si>
  <si>
    <t>polipropilenis milebis fasonuri nawilebi</t>
  </si>
  <si>
    <t>%</t>
  </si>
  <si>
    <t>damcavi sarqveli manometriT (6 bari)</t>
  </si>
  <si>
    <t>burTulovani ventili  Ø20</t>
  </si>
  <si>
    <t>burTulovani ventili  Ø25</t>
  </si>
  <si>
    <t>burTulovani ventili  Ø32</t>
  </si>
  <si>
    <t>burTulovani ventili  Ø40</t>
  </si>
  <si>
    <t>burTulovani ventili  Ø50</t>
  </si>
  <si>
    <t>sapirispiro sarqveli  Ø40</t>
  </si>
  <si>
    <t>sapirispiro sarqveli   Ø50</t>
  </si>
  <si>
    <t>ventilebis fasonuri nawilebi</t>
  </si>
  <si>
    <t>meqanikuri filtri  Ø32</t>
  </si>
  <si>
    <t>meqanikuri filtri  Ø40</t>
  </si>
  <si>
    <t>urdulebis fasonuri nawilebi</t>
  </si>
  <si>
    <r>
      <t xml:space="preserve">foladis koleqtori antikoroziuli SeRebviT </t>
    </r>
    <r>
      <rPr>
        <sz val="10"/>
        <color indexed="8"/>
        <rFont val="Arial"/>
        <family val="2"/>
      </rPr>
      <t>D150</t>
    </r>
    <r>
      <rPr>
        <sz val="10"/>
        <color indexed="8"/>
        <rFont val="Avaza"/>
        <family val="2"/>
      </rPr>
      <t xml:space="preserve">  1.5m</t>
    </r>
  </si>
  <si>
    <r>
      <t xml:space="preserve">hidravlikuri isari (sabalanso avzi) </t>
    </r>
    <r>
      <rPr>
        <sz val="10"/>
        <color indexed="8"/>
        <rFont val="Arial"/>
        <family val="2"/>
      </rPr>
      <t>D230</t>
    </r>
  </si>
  <si>
    <t>koleqtoris fasonuri nawilebi</t>
  </si>
  <si>
    <t>samagrebi da sxva damxmare masala</t>
  </si>
  <si>
    <t>kom</t>
  </si>
  <si>
    <t>modineba gawovis sistemebi #1;2;3.</t>
  </si>
  <si>
    <t xml:space="preserve">modineba gawovis saventilacio rekupiratoriani danadgari diferencieluri marTviT eleqtro teniT da filtriT 2500m3//sT 150pa 13.0kv/sT(3X380v) gare montaJis xmis da TboizolaciiT saxuravze sadgamiT </t>
  </si>
  <si>
    <t>komp</t>
  </si>
  <si>
    <t>marTvis pulti  eleqtro tenis martvis avtomatikiT</t>
  </si>
  <si>
    <t>mrekadi SefuTuli haersatari Ø200mm</t>
  </si>
  <si>
    <t>m</t>
  </si>
  <si>
    <t>mrekadi SefuTuli haersatari Ø125mm</t>
  </si>
  <si>
    <t>0,55mm</t>
  </si>
  <si>
    <t xml:space="preserve">moTuTiebuli furclovani foladis haersatari </t>
  </si>
  <si>
    <t>m²</t>
  </si>
  <si>
    <t>haersataris damxmare masalebi</t>
  </si>
  <si>
    <t>30mm</t>
  </si>
  <si>
    <t>haersatarebis Tboizolacia(mineraluri bamba)</t>
  </si>
  <si>
    <t>12mm</t>
  </si>
  <si>
    <t>izolaciis damxmare masalebi</t>
  </si>
  <si>
    <t>cxaura  difuzoriT 150X150</t>
  </si>
  <si>
    <t>cxaura  difuzoriT 200X200</t>
  </si>
  <si>
    <r>
      <t xml:space="preserve">difuzori xarjis regulirebiT </t>
    </r>
    <r>
      <rPr>
        <sz val="10"/>
        <color indexed="8"/>
        <rFont val="Arial"/>
        <family val="2"/>
      </rPr>
      <t>Ø125</t>
    </r>
  </si>
  <si>
    <r>
      <t xml:space="preserve">difuzori xarjis regulirebiT </t>
    </r>
    <r>
      <rPr>
        <sz val="10"/>
        <color indexed="8"/>
        <rFont val="Arial"/>
        <family val="2"/>
      </rPr>
      <t>Ø200</t>
    </r>
  </si>
  <si>
    <t>samzareulos gamwovi sistema</t>
  </si>
  <si>
    <r>
      <t>samzareulos gamwovi ventilatori L=1400 m³/sT</t>
    </r>
    <r>
      <rPr>
        <sz val="10"/>
        <color indexed="8"/>
        <rFont val="Arial"/>
        <family val="2"/>
      </rPr>
      <t>.P=150</t>
    </r>
    <r>
      <rPr>
        <sz val="10"/>
        <color indexed="8"/>
        <rFont val="Avaza"/>
        <family val="2"/>
      </rPr>
      <t>pa</t>
    </r>
  </si>
  <si>
    <t>ventilatoris saxuravze sadgami</t>
  </si>
  <si>
    <t>ventilatoris simZlavris regulatori 12m kabeliT</t>
  </si>
  <si>
    <t xml:space="preserve">uJangavi furclovani foladis haersatari </t>
  </si>
  <si>
    <t>uJangavi metalis qolga cximdamWeri badiT 1600X800</t>
  </si>
  <si>
    <t>sapirfareSoebis gamwovi sistemebi</t>
  </si>
  <si>
    <r>
      <t>sapirfareSos gamwovi ventilatori L=80 m³/sT</t>
    </r>
    <r>
      <rPr>
        <sz val="10"/>
        <color indexed="8"/>
        <rFont val="Arial"/>
        <family val="2"/>
      </rPr>
      <t>.P=105</t>
    </r>
    <r>
      <rPr>
        <sz val="10"/>
        <color indexed="8"/>
        <rFont val="Avaza"/>
        <family val="2"/>
      </rPr>
      <t xml:space="preserve"> pa</t>
    </r>
  </si>
  <si>
    <t>mrekadi  haersatari Ø125mm</t>
  </si>
  <si>
    <t>kondicionerebi</t>
  </si>
  <si>
    <t>BTU 9000</t>
  </si>
  <si>
    <t>kondicioneri split sitemis Sida gare bloki</t>
  </si>
  <si>
    <t>wy</t>
  </si>
  <si>
    <t>BTU 12000</t>
  </si>
  <si>
    <t>BTU 24000</t>
  </si>
  <si>
    <t>montaJis makompleqtebeli nawilebi spilenZis milebiT damakavSirebeli kabeliT SesafuTiT da drenaJis miliT</t>
  </si>
  <si>
    <t xml:space="preserve">gare blokis saxuravze sadgami </t>
  </si>
  <si>
    <t>kondesatis milgayvaniloba</t>
  </si>
  <si>
    <t>polipropilenis mili    Ø-25</t>
  </si>
  <si>
    <t>izolacia Ø-25-iani  milisTvis</t>
  </si>
  <si>
    <t>izolaciis fasonuri nawilebi</t>
  </si>
  <si>
    <t>radiatorebi</t>
  </si>
  <si>
    <t>0,5X0,5</t>
  </si>
  <si>
    <r>
      <rPr>
        <sz val="10"/>
        <color indexed="8"/>
        <rFont val="Arial"/>
        <family val="2"/>
      </rPr>
      <t>PKKP</t>
    </r>
    <r>
      <rPr>
        <sz val="10"/>
        <color indexed="8"/>
        <rFont val="Avaza"/>
        <family val="2"/>
      </rPr>
      <t xml:space="preserve"> tipis paneluri radiatori</t>
    </r>
    <r>
      <rPr>
        <sz val="10"/>
        <color indexed="8"/>
        <rFont val="Avaza"/>
        <family val="2"/>
      </rPr>
      <t xml:space="preserve">  </t>
    </r>
    <r>
      <rPr>
        <sz val="10"/>
        <color indexed="8"/>
        <rFont val="Arial"/>
        <family val="2"/>
      </rPr>
      <t>PKKP 500   1210 wt 70- 55 °C</t>
    </r>
  </si>
  <si>
    <t>0,5X0,8</t>
  </si>
  <si>
    <t>0,5X1,0</t>
  </si>
  <si>
    <t>0,5X1,2</t>
  </si>
  <si>
    <t>0,5X1,4</t>
  </si>
  <si>
    <t>0,5X1,6</t>
  </si>
  <si>
    <t>adaft</t>
  </si>
  <si>
    <t>radiatoris ventili TermoTaviT</t>
  </si>
  <si>
    <t>radiatoris ventili uku</t>
  </si>
  <si>
    <t>gaTbobis milgayvaniloba</t>
  </si>
  <si>
    <t>foladis mili   Ø-40</t>
  </si>
  <si>
    <t xml:space="preserve">foladis miliebis antikoroziuli SeRebva orjel   </t>
  </si>
  <si>
    <t>milebis fasonuri nawilebi</t>
  </si>
  <si>
    <t>izolacia Ø-32-iani  milisTvis  13mm</t>
  </si>
  <si>
    <t>izolacia Ø-40-iani  milisTvis   13mm</t>
  </si>
  <si>
    <t>izolacia Ø-50-iani  milisTvis   18mm</t>
  </si>
  <si>
    <t>7wvera</t>
  </si>
  <si>
    <t>koleqtori s kompleqti yuTiT, haergamSveb damcleliTda samagrebiT   Ø1"   ventilebiT    7wvX16mm</t>
  </si>
  <si>
    <t>10wvera</t>
  </si>
  <si>
    <t>koleqtori s kompleqti yuTiT, haergamSveb damcleliTda samagrebiT   Ø1"   ventilebiT    10wvX16mm</t>
  </si>
  <si>
    <t>11wvera</t>
  </si>
  <si>
    <t>koleqtori s kompleqti yuTiT, haergamSveb damcleliTda samagrebiT   Ø1"   ventilebiT    11wvX16mm</t>
  </si>
  <si>
    <t>meqnikuri filtri  Ø32</t>
  </si>
  <si>
    <t>sabalanso ventili  Ø32</t>
  </si>
  <si>
    <t xml:space="preserve">PE-Xb/AL/PE-Xb Ø16x2x6mm </t>
  </si>
  <si>
    <r>
      <t xml:space="preserve">metaloplasmasis aluminis Sriani mili </t>
    </r>
    <r>
      <rPr>
        <sz val="10"/>
        <color indexed="8"/>
        <rFont val="Arial"/>
        <family val="2"/>
      </rPr>
      <t>Ø16</t>
    </r>
    <r>
      <rPr>
        <sz val="10"/>
        <color indexed="8"/>
        <rFont val="Avaza"/>
        <family val="2"/>
      </rPr>
      <t>mm TboizolaciiT  50</t>
    </r>
  </si>
  <si>
    <t>ნორმატივის ნომერი და შიფრი</t>
  </si>
  <si>
    <t>გათბობა - ვენტიალცია - გაგრილების სამუშაოები</t>
  </si>
  <si>
    <t>თავების ჯამი:</t>
  </si>
  <si>
    <t>დამხმარე შენობა</t>
  </si>
  <si>
    <t>დამხმარე შენობის საძირკვლის ფილის, მონოლითური კედლებისა და გადახურვის არმირება</t>
  </si>
  <si>
    <t>არმატურა A240C Ø18 მმ.</t>
  </si>
  <si>
    <t>არმატურა A240C Ø20 მმ.</t>
  </si>
  <si>
    <t>არმატურა A240C Ø22 მმ.</t>
  </si>
  <si>
    <t>არმატურა A240C Ø12 მმ.</t>
  </si>
  <si>
    <t>არმატურა A240C Ø14 მმ.</t>
  </si>
  <si>
    <t>არმატურა A240C Ø16 მმ.</t>
  </si>
  <si>
    <t>არმატურა A240C Ø25 მმ.</t>
  </si>
  <si>
    <r>
      <t>ბეტონი B25 W10 F100</t>
    </r>
    <r>
      <rPr>
        <sz val="10"/>
        <rFont val="Sylfaen"/>
        <family val="1"/>
      </rPr>
      <t xml:space="preserve"> (საძირკვლის ფილა)</t>
    </r>
  </si>
  <si>
    <r>
      <t>ბეტონი B25 W10 F100</t>
    </r>
    <r>
      <rPr>
        <sz val="10"/>
        <rFont val="Sylfaen"/>
        <family val="1"/>
      </rPr>
      <t xml:space="preserve"> (კედლები)</t>
    </r>
  </si>
  <si>
    <r>
      <t>ბეტონი B25 W10 F100</t>
    </r>
    <r>
      <rPr>
        <sz val="10"/>
        <rFont val="Sylfaen"/>
        <family val="1"/>
      </rPr>
      <t xml:space="preserve"> (გადახურვის ფილა)</t>
    </r>
  </si>
  <si>
    <t>ბეტონსაქაჩი ტუმბოს მომსახურეობა</t>
  </si>
  <si>
    <t>ლითონის კონსტრუქციები</t>
  </si>
  <si>
    <t>9-5-1
gamy.</t>
  </si>
  <si>
    <t>ლითონის კარების დამზადება და მონტაჟი</t>
  </si>
  <si>
    <t>Sika Tricosal 300 mm.</t>
  </si>
  <si>
    <t>10-11 gam.</t>
  </si>
  <si>
    <t>5-4</t>
  </si>
  <si>
    <t>10-37-1</t>
  </si>
  <si>
    <t>10-38-3</t>
  </si>
  <si>
    <t>12-6-2 gamoy.</t>
  </si>
  <si>
    <t>1.5-15-16</t>
  </si>
  <si>
    <t>1.9-70</t>
  </si>
  <si>
    <t>11-7-3</t>
  </si>
  <si>
    <t>4.1-449</t>
  </si>
  <si>
    <t>01-4.1-02-01 knauf. gam.</t>
  </si>
  <si>
    <t>10.1-3</t>
  </si>
  <si>
    <t>1.5-16</t>
  </si>
  <si>
    <t>ნივნივა</t>
  </si>
  <si>
    <t>შეფიცვრა</t>
  </si>
  <si>
    <t>ლურსმანი</t>
  </si>
  <si>
    <r>
      <t xml:space="preserve">მონოლითური რკინაბეტონის რიგელების მოწყობა </t>
    </r>
    <r>
      <rPr>
        <sz val="10"/>
        <rFont val="Sylfaen"/>
        <family val="1"/>
      </rPr>
      <t xml:space="preserve"> </t>
    </r>
    <r>
      <rPr>
        <sz val="10"/>
        <color indexed="10"/>
        <rFont val="Sylfaen"/>
        <family val="1"/>
      </rPr>
      <t>(+3.050 ნიშნულზე)</t>
    </r>
  </si>
  <si>
    <t>ხის კოჭი 100*80</t>
  </si>
  <si>
    <t>ჩანგალი Ø8 მმ.</t>
  </si>
  <si>
    <t>სახურავის ხის საყრდენი კონსტრუქციების და ნივნივების მოწყობა</t>
  </si>
  <si>
    <t>ძირითადი შენობა</t>
  </si>
  <si>
    <t>ხის კონსტრუქციების დამუშავება ხანძარმედეგი ხსნარით</t>
  </si>
  <si>
    <t>ხის კონსტრუქციების დამუშავება ანტისეპტიკური ხსნარით</t>
  </si>
  <si>
    <t>შიდა სახანძრო წყალსადენის მოწყობის სამუშაოები</t>
  </si>
  <si>
    <t>1. შიდა სახანძრო სისტემა</t>
  </si>
  <si>
    <t>საქვაბე</t>
  </si>
  <si>
    <t xml:space="preserve">jvaredi foladis </t>
  </si>
  <si>
    <t xml:space="preserve">samkapi foladis </t>
  </si>
  <si>
    <t>gadamyvani</t>
  </si>
  <si>
    <t>muxli</t>
  </si>
  <si>
    <t>milis  samagri</t>
  </si>
  <si>
    <t>foladis milebis SeRebva zeTis saRebaviT</t>
  </si>
  <si>
    <r>
      <t xml:space="preserve">mili foladis </t>
    </r>
    <r>
      <rPr>
        <sz val="11"/>
        <color indexed="8"/>
        <rFont val="Arial"/>
        <family val="2"/>
      </rPr>
      <t>Dn80</t>
    </r>
  </si>
  <si>
    <r>
      <t xml:space="preserve">mili foladis </t>
    </r>
    <r>
      <rPr>
        <sz val="11"/>
        <color indexed="8"/>
        <rFont val="Arial"/>
        <family val="2"/>
      </rPr>
      <t>Dn65</t>
    </r>
  </si>
  <si>
    <r>
      <t>mili foladis</t>
    </r>
    <r>
      <rPr>
        <sz val="11"/>
        <color indexed="8"/>
        <rFont val="Arial Black"/>
        <family val="2"/>
      </rPr>
      <t xml:space="preserve"> </t>
    </r>
    <r>
      <rPr>
        <sz val="11"/>
        <color indexed="8"/>
        <rFont val="Arial"/>
        <family val="2"/>
      </rPr>
      <t>Dn50</t>
    </r>
  </si>
  <si>
    <r>
      <t>mili foladis</t>
    </r>
    <r>
      <rPr>
        <sz val="11"/>
        <color indexed="8"/>
        <rFont val="Arial"/>
        <family val="2"/>
      </rPr>
      <t xml:space="preserve"> Dn40</t>
    </r>
  </si>
  <si>
    <r>
      <t xml:space="preserve">mili foladis </t>
    </r>
    <r>
      <rPr>
        <sz val="11"/>
        <color indexed="8"/>
        <rFont val="Arial"/>
        <family val="2"/>
      </rPr>
      <t>Dn32</t>
    </r>
  </si>
  <si>
    <r>
      <t xml:space="preserve">mili foladis </t>
    </r>
    <r>
      <rPr>
        <sz val="11"/>
        <color indexed="8"/>
        <rFont val="Arial"/>
        <family val="2"/>
      </rPr>
      <t>Dn25</t>
    </r>
  </si>
  <si>
    <r>
      <t xml:space="preserve">saxanZro karada,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 xml:space="preserve">50 onkaniT, </t>
    </r>
    <r>
      <rPr>
        <sz val="11"/>
        <color indexed="8"/>
        <rFont val="Arial"/>
        <family val="2"/>
      </rPr>
      <t>L</t>
    </r>
    <r>
      <rPr>
        <sz val="11"/>
        <color indexed="8"/>
        <rFont val="AcadNusx"/>
        <family val="0"/>
      </rPr>
      <t>=25 m SlangiT.).</t>
    </r>
  </si>
  <si>
    <t>2. სახანძრო სატუმბო სადგური</t>
  </si>
  <si>
    <r>
      <t>sprinkleri (swrafi  reagirebis, qveda rozetiT, standartuli dafarvis, 68</t>
    </r>
    <r>
      <rPr>
        <sz val="11"/>
        <color indexed="8"/>
        <rFont val="Calibri"/>
        <family val="2"/>
      </rPr>
      <t>°</t>
    </r>
    <r>
      <rPr>
        <sz val="11"/>
        <color indexed="8"/>
        <rFont val="AcadNusx"/>
        <family val="0"/>
      </rPr>
      <t>º,</t>
    </r>
    <r>
      <rPr>
        <sz val="11"/>
        <color indexed="8"/>
        <rFont val="Arial"/>
        <family val="2"/>
      </rPr>
      <t xml:space="preserve"> K</t>
    </r>
    <r>
      <rPr>
        <sz val="11"/>
        <color indexed="8"/>
        <rFont val="AcadNusx"/>
        <family val="0"/>
      </rPr>
      <t>=80.).</t>
    </r>
  </si>
  <si>
    <t>40/25</t>
  </si>
  <si>
    <t>65/25</t>
  </si>
  <si>
    <t>50/40</t>
  </si>
  <si>
    <t>50/25</t>
  </si>
  <si>
    <t>40/32</t>
  </si>
  <si>
    <t>32/25</t>
  </si>
  <si>
    <t>65/50</t>
  </si>
  <si>
    <t>25/15</t>
  </si>
  <si>
    <r>
      <t>m</t>
    </r>
    <r>
      <rPr>
        <sz val="10"/>
        <color indexed="8"/>
        <rFont val="Calibri"/>
        <family val="2"/>
      </rPr>
      <t>²</t>
    </r>
  </si>
  <si>
    <t>ფოლადის მილის შეღებვა ზეთის საღებავით</t>
  </si>
  <si>
    <t xml:space="preserve">nakadis rele </t>
  </si>
  <si>
    <t>კომპლ</t>
  </si>
  <si>
    <t>პლასტმასის ვენტილი; (დრენაჟის სისტემა)</t>
  </si>
  <si>
    <t xml:space="preserve">3. სახანძრო ჰიდრანტი </t>
  </si>
  <si>
    <t>betonis sayrdeni bloki urdulis TalfakisTvis</t>
  </si>
  <si>
    <t>muxli qvesadgamiT</t>
  </si>
  <si>
    <t>urdulis RerZi kvadratiT</t>
  </si>
  <si>
    <t xml:space="preserve">miwisqveSa saxanZro hidrantiTbilisis tipis  </t>
  </si>
  <si>
    <t>urdulis xufi</t>
  </si>
  <si>
    <t>saxanZro hidrantis xufi Tujis</t>
  </si>
  <si>
    <t>foladis miltuCi</t>
  </si>
  <si>
    <t>4. გარე სახანძრო მილსადენი</t>
  </si>
  <si>
    <t>მიწის მოჭრა და გატანა</t>
  </si>
  <si>
    <t xml:space="preserve">ფოლადის მილის ანტიკოროზიული დამუშავება </t>
  </si>
  <si>
    <t>ფოლადის მილის შეძენა მონტაჟი თხრილში</t>
  </si>
  <si>
    <t>თხრილის შევსება ბალასტით</t>
  </si>
  <si>
    <t xml:space="preserve">შიდა წყალსადენ-კანალიზაციის ქსელების მოწყობის სამუშაოები </t>
  </si>
  <si>
    <t>ლოკალური ხარჯთაღრიცხვა 1-4</t>
  </si>
  <si>
    <t>შიდა წყალსადენ - კანალიზაციის ქსელების მოწყობის სამუშაოები</t>
  </si>
  <si>
    <t>1. კანალიზაცია</t>
  </si>
  <si>
    <t xml:space="preserve">მილი  კანალიზაციის PVC SN-2 </t>
  </si>
  <si>
    <t xml:space="preserve">მილი  კანალიზაციის PVC SN-8 </t>
  </si>
  <si>
    <t>სამკაპი  ირიბი  45გრად</t>
  </si>
  <si>
    <t>გამწმენდი (საცობი)</t>
  </si>
  <si>
    <t>მილების სამაგრი</t>
  </si>
  <si>
    <t>100/50</t>
  </si>
  <si>
    <t>80/50</t>
  </si>
  <si>
    <t xml:space="preserve"> 2. წყალსადენი</t>
  </si>
  <si>
    <t>პლასტმასის ვენტილები</t>
  </si>
  <si>
    <t>კუთხის ვენტილები</t>
  </si>
  <si>
    <t>მუხლი შიდა ხრახნით</t>
  </si>
  <si>
    <t>თბოსაიზოლაციო მასალა 13მმ</t>
  </si>
  <si>
    <t>სხვა ფიტინგები და მასალები ღირებულების 30%</t>
  </si>
  <si>
    <r>
      <t xml:space="preserve">მილი პოლიპროპილენის PP </t>
    </r>
    <r>
      <rPr>
        <sz val="11"/>
        <color indexed="8"/>
        <rFont val="Arial"/>
        <family val="2"/>
      </rPr>
      <t>Pn</t>
    </r>
    <r>
      <rPr>
        <sz val="11"/>
        <color indexed="8"/>
        <rFont val="Calibri"/>
        <family val="2"/>
      </rPr>
      <t>-10 (ცივი წყლის)</t>
    </r>
  </si>
  <si>
    <r>
      <t xml:space="preserve">მილი პოლიპროპილენის PPR </t>
    </r>
    <r>
      <rPr>
        <sz val="11"/>
        <color indexed="8"/>
        <rFont val="Arial"/>
        <family val="2"/>
      </rPr>
      <t>Pn</t>
    </r>
    <r>
      <rPr>
        <sz val="11"/>
        <color indexed="8"/>
        <rFont val="Calibri"/>
        <family val="2"/>
      </rPr>
      <t>-20 (ცხელი წყლის)</t>
    </r>
  </si>
  <si>
    <t xml:space="preserve"> 3. მოწყობილობები</t>
  </si>
  <si>
    <t>უნიტაზი ჩამრეცხი ავზით და გოფრირებული მუხლით</t>
  </si>
  <si>
    <t>ხელსაბანი შემრევით და სიფონით,</t>
  </si>
  <si>
    <t>სამზარეულოს ნიჟარა შემრევით და სიფონით</t>
  </si>
  <si>
    <t>შხაპი შემრევით და ქვესადგამით</t>
  </si>
  <si>
    <t xml:space="preserve">4. სასმელი წყლის სატუმბო სადგურიs და ავზის სისტემა </t>
  </si>
  <si>
    <r>
      <t>სატუმბო სადგურის მოდული, ორ ტუმბოიანი (ერთი მუშა, მეორე სათადარიგო)NK</t>
    </r>
    <r>
      <rPr>
        <sz val="10"/>
        <color indexed="8"/>
        <rFont val="Arial"/>
        <family val="2"/>
      </rPr>
      <t>q=</t>
    </r>
    <r>
      <rPr>
        <sz val="10"/>
        <color indexed="8"/>
        <rFont val="AcadNusx"/>
        <family val="0"/>
      </rPr>
      <t xml:space="preserve">3.2l/wm </t>
    </r>
    <r>
      <rPr>
        <sz val="10"/>
        <color indexed="8"/>
        <rFont val="Arial"/>
        <family val="2"/>
      </rPr>
      <t>h=25მ , P=2.2კვტ. (Σp=4.2.0 kvt)    საკონტროლო პანელით.</t>
    </r>
  </si>
  <si>
    <r>
      <t>diafragmuli avzi 50l NK</t>
    </r>
  </si>
  <si>
    <t>წყლის ავზი უჟანგავი ფოლადის 5000ლ</t>
  </si>
  <si>
    <r>
      <t xml:space="preserve">პოლიპროპილენის მილი  </t>
    </r>
    <r>
      <rPr>
        <sz val="10"/>
        <color indexed="8"/>
        <rFont val="Calibri"/>
        <family val="2"/>
      </rPr>
      <t>Ø75</t>
    </r>
  </si>
  <si>
    <r>
      <t xml:space="preserve">პოლიპროპილენის მილი  </t>
    </r>
    <r>
      <rPr>
        <sz val="10"/>
        <color indexed="8"/>
        <rFont val="Calibri"/>
        <family val="2"/>
      </rPr>
      <t>Ø63</t>
    </r>
  </si>
  <si>
    <r>
      <t xml:space="preserve"> ვენტილი პლასტმასის </t>
    </r>
    <r>
      <rPr>
        <sz val="10"/>
        <rFont val="Arial"/>
        <family val="2"/>
      </rPr>
      <t>Ø</t>
    </r>
    <r>
      <rPr>
        <sz val="11.5"/>
        <rFont val="AcadNusx"/>
        <family val="0"/>
      </rPr>
      <t xml:space="preserve">75 </t>
    </r>
  </si>
  <si>
    <r>
      <t xml:space="preserve"> ვენტილი პლასტმასის </t>
    </r>
    <r>
      <rPr>
        <sz val="10"/>
        <rFont val="Arial"/>
        <family val="2"/>
      </rPr>
      <t>Ø</t>
    </r>
    <r>
      <rPr>
        <sz val="11.5"/>
        <rFont val="AcadNusx"/>
        <family val="0"/>
      </rPr>
      <t xml:space="preserve">63 </t>
    </r>
  </si>
  <si>
    <r>
      <t xml:space="preserve"> ვენტილი პლასტმასის </t>
    </r>
    <r>
      <rPr>
        <sz val="10"/>
        <rFont val="Arial"/>
        <family val="2"/>
      </rPr>
      <t>Ø</t>
    </r>
    <r>
      <rPr>
        <sz val="11.5"/>
        <rFont val="AcadNusx"/>
        <family val="0"/>
      </rPr>
      <t xml:space="preserve">50 </t>
    </r>
  </si>
  <si>
    <r>
      <t xml:space="preserve"> ვენტილი პლასტმასის </t>
    </r>
    <r>
      <rPr>
        <sz val="10"/>
        <rFont val="Arial"/>
        <family val="2"/>
      </rPr>
      <t>Ø</t>
    </r>
    <r>
      <rPr>
        <sz val="11.5"/>
        <rFont val="AcadNusx"/>
        <family val="0"/>
      </rPr>
      <t xml:space="preserve">25 </t>
    </r>
  </si>
  <si>
    <r>
      <t xml:space="preserve"> ვენტილი ლითონის </t>
    </r>
    <r>
      <rPr>
        <sz val="10"/>
        <rFont val="Arial"/>
        <family val="2"/>
      </rPr>
      <t>Dn80</t>
    </r>
    <r>
      <rPr>
        <sz val="11.5"/>
        <rFont val="AcadNusx"/>
        <family val="0"/>
      </rPr>
      <t xml:space="preserve"> </t>
    </r>
  </si>
  <si>
    <r>
      <t xml:space="preserve"> ვენტილი ლითონის </t>
    </r>
    <r>
      <rPr>
        <sz val="10"/>
        <rFont val="Arial"/>
        <family val="2"/>
      </rPr>
      <t>Dn50</t>
    </r>
    <r>
      <rPr>
        <sz val="11.5"/>
        <rFont val="AcadNusx"/>
        <family val="0"/>
      </rPr>
      <t xml:space="preserve"> </t>
    </r>
  </si>
  <si>
    <r>
      <t xml:space="preserve"> უკუსარქველი  </t>
    </r>
    <r>
      <rPr>
        <sz val="10"/>
        <color indexed="8"/>
        <rFont val="Arial"/>
        <family val="2"/>
      </rPr>
      <t>Ø90</t>
    </r>
  </si>
  <si>
    <r>
      <t xml:space="preserve">პოლიპროპილენის მილი  </t>
    </r>
    <r>
      <rPr>
        <sz val="10"/>
        <color indexed="8"/>
        <rFont val="Calibri"/>
        <family val="2"/>
      </rPr>
      <t>Ø90</t>
    </r>
  </si>
  <si>
    <r>
      <t xml:space="preserve">მანომეტრი </t>
    </r>
    <r>
      <rPr>
        <sz val="10"/>
        <color indexed="8"/>
        <rFont val="Arial"/>
        <family val="2"/>
      </rPr>
      <t>Pn</t>
    </r>
    <r>
      <rPr>
        <sz val="11.5"/>
        <color indexed="8"/>
        <rFont val="AcadNusx"/>
        <family val="0"/>
      </rPr>
      <t xml:space="preserve">16 ატმ. </t>
    </r>
    <r>
      <rPr>
        <sz val="11.5"/>
        <color indexed="8"/>
        <rFont val="Arial"/>
        <family val="2"/>
      </rPr>
      <t>Dn</t>
    </r>
    <r>
      <rPr>
        <sz val="11.5"/>
        <color indexed="8"/>
        <rFont val="AcadNusx"/>
        <family val="0"/>
      </rPr>
      <t>15</t>
    </r>
  </si>
  <si>
    <r>
      <t xml:space="preserve">სამსვლიანი ვენტილი </t>
    </r>
    <r>
      <rPr>
        <sz val="10"/>
        <color indexed="8"/>
        <rFont val="Arial"/>
        <family val="2"/>
      </rPr>
      <t>Dn</t>
    </r>
    <r>
      <rPr>
        <sz val="11.5"/>
        <color indexed="8"/>
        <rFont val="AcadNusx"/>
        <family val="0"/>
      </rPr>
      <t>15</t>
    </r>
  </si>
  <si>
    <t>სხვა ფიტინგები და მასალები ღირებულების 20%</t>
  </si>
  <si>
    <r>
      <t>გამჭვირვალე მილი</t>
    </r>
    <r>
      <rPr>
        <sz val="10"/>
        <color indexed="8"/>
        <rFont val="Arial"/>
        <family val="2"/>
      </rPr>
      <t xml:space="preserve"> Ø</t>
    </r>
    <r>
      <rPr>
        <sz val="10"/>
        <color indexed="8"/>
        <rFont val="AcadNusx"/>
        <family val="0"/>
      </rPr>
      <t>25</t>
    </r>
  </si>
  <si>
    <r>
      <t>სამკაპი    90</t>
    </r>
    <r>
      <rPr>
        <sz val="11"/>
        <color indexed="8"/>
        <rFont val="Calibri"/>
        <family val="2"/>
      </rPr>
      <t>°</t>
    </r>
  </si>
  <si>
    <r>
      <t>წამგვარი 45</t>
    </r>
    <r>
      <rPr>
        <sz val="11"/>
        <color indexed="8"/>
        <rFont val="Arial"/>
        <family val="2"/>
      </rPr>
      <t>°</t>
    </r>
  </si>
  <si>
    <r>
      <t>ჯვარედი ირიბი  45</t>
    </r>
    <r>
      <rPr>
        <sz val="11"/>
        <color indexed="8"/>
        <rFont val="Calibri"/>
        <family val="2"/>
      </rPr>
      <t>°</t>
    </r>
  </si>
  <si>
    <t>მიწის მოჭრა</t>
  </si>
  <si>
    <t xml:space="preserve">damuSavebuli gruntis dayra TviTmclelebze da gatana </t>
  </si>
  <si>
    <t>Txrilis Sevseba balastiT</t>
  </si>
  <si>
    <t xml:space="preserve">1. გარე კანალიზაციის სისტემა </t>
  </si>
  <si>
    <t>2. გარე წყალსადენი</t>
  </si>
  <si>
    <t>მილის ქვეშ 10სმ და მის თავზე 20 სმ ქვიშის ფენილების მოწყობა</t>
  </si>
  <si>
    <t>წყალსადენის პოლიეთილენის მილის მონტაჟი PE100 Pn16</t>
  </si>
  <si>
    <t xml:space="preserve"> პოლიეთილენის ელექტროფუსიური მუხლი </t>
  </si>
  <si>
    <t xml:space="preserve"> პოლიეთილენის ელექტროფუსიური წამგვარი 45გრად. </t>
  </si>
  <si>
    <t xml:space="preserve"> პოლიეთილენის ელექტროფუსიური სამკაპი </t>
  </si>
  <si>
    <t xml:space="preserve">თხრილის შევსება ბალასტით </t>
  </si>
  <si>
    <t>ზედმეტი მიწის გატანა</t>
  </si>
  <si>
    <t>წყალსადენის ჭა h=1მ d=1500მმ</t>
  </si>
  <si>
    <t>წყალზომი  Dn=50მმ</t>
  </si>
  <si>
    <t>ვენტილი  Dn=50მმ</t>
  </si>
  <si>
    <t>ფილტრი  Dn=50მმ</t>
  </si>
  <si>
    <t>უკუსარქველი  Dn=50მმ</t>
  </si>
  <si>
    <t>ადაპტორი ფოლადი  Dn50/პოლიეთილენი Ø63</t>
  </si>
  <si>
    <t>4. გაზონის სარწყავი ქსელი</t>
  </si>
  <si>
    <t>წყალსადენის პოლიეთილენის მილის მონტაჟი PE100 Pn20</t>
  </si>
  <si>
    <t>პლასტმასის ჭა</t>
  </si>
  <si>
    <t>ვენტილი</t>
  </si>
  <si>
    <t>51x42x31</t>
  </si>
  <si>
    <t>Webis qveS 20sm xreSis baliSis mowyoba</t>
  </si>
  <si>
    <r>
      <t xml:space="preserve">kanalizaciis polieTilenis gofrirebuli milis SeZena-montaJi </t>
    </r>
    <r>
      <rPr>
        <sz val="11"/>
        <color indexed="8"/>
        <rFont val="Arial"/>
        <family val="2"/>
      </rPr>
      <t>d</t>
    </r>
    <r>
      <rPr>
        <sz val="11"/>
        <color indexed="8"/>
        <rFont val="AcadNusx"/>
        <family val="0"/>
      </rPr>
      <t>=150 mm</t>
    </r>
  </si>
  <si>
    <r>
      <t xml:space="preserve">rk/betonis anakrebi Wa Tujis xufiT </t>
    </r>
    <r>
      <rPr>
        <sz val="11"/>
        <color indexed="63"/>
        <rFont val="Arial"/>
        <family val="2"/>
      </rPr>
      <t>D</t>
    </r>
    <r>
      <rPr>
        <sz val="11"/>
        <color indexed="63"/>
        <rFont val="AcadNusx"/>
        <family val="0"/>
      </rPr>
      <t xml:space="preserve">=1000 </t>
    </r>
    <r>
      <rPr>
        <sz val="11"/>
        <color indexed="63"/>
        <rFont val="Times New Roman"/>
        <family val="1"/>
      </rPr>
      <t>H=0.62 -1.16 m</t>
    </r>
  </si>
  <si>
    <r>
      <rPr>
        <b/>
        <sz val="11"/>
        <rFont val="Arial"/>
        <family val="2"/>
      </rPr>
      <t>IT</t>
    </r>
    <r>
      <rPr>
        <b/>
        <sz val="11"/>
        <rFont val="AcadNusx"/>
        <family val="0"/>
      </rPr>
      <t xml:space="preserve"> სისტემა</t>
    </r>
  </si>
  <si>
    <t>ლოკალური ხარჯთაღრიცხვა 1-5</t>
  </si>
  <si>
    <t>ლოკალური ხარჯთაღრიცხვა 1-6</t>
  </si>
  <si>
    <t>ლოკალური ხარჯთაღრიცხვა 1-7</t>
  </si>
  <si>
    <r>
      <t xml:space="preserve">სუსტი დენების ქსელების მოწყობის სამუშაოები </t>
    </r>
    <r>
      <rPr>
        <sz val="10"/>
        <rFont val="Sylfaen"/>
        <family val="1"/>
      </rPr>
      <t>(</t>
    </r>
    <r>
      <rPr>
        <sz val="9"/>
        <rFont val="Sylfaen"/>
        <family val="1"/>
      </rPr>
      <t>სახანძრო, ვიდეო და IT სისტემები</t>
    </r>
    <r>
      <rPr>
        <sz val="10"/>
        <rFont val="Sylfaen"/>
        <family val="1"/>
      </rPr>
      <t>)</t>
    </r>
  </si>
  <si>
    <t>მცირე ზომის საკედლე იზობლოკი</t>
  </si>
  <si>
    <t>წებოცემენტი</t>
  </si>
  <si>
    <t>ანკერი Ø14 მმ.</t>
  </si>
  <si>
    <t>ლითონის კარები (აქსესუარებით) RAL7001</t>
  </si>
  <si>
    <r>
      <t xml:space="preserve">მონოლითური რ/ბ წერტილოვანი საძირკვლების მოწყობა </t>
    </r>
    <r>
      <rPr>
        <sz val="10"/>
        <color indexed="10"/>
        <rFont val="Sylfaen"/>
        <family val="1"/>
      </rPr>
      <t>(წს-1; 14 ცალი)</t>
    </r>
    <r>
      <rPr>
        <sz val="10"/>
        <rFont val="Sylfaen"/>
        <family val="1"/>
      </rPr>
      <t xml:space="preserve"> </t>
    </r>
  </si>
  <si>
    <r>
      <t xml:space="preserve">მონოლითური რკინაბეტონის სვეტების მოწყობა </t>
    </r>
    <r>
      <rPr>
        <sz val="10"/>
        <color indexed="10"/>
        <rFont val="Sylfaen"/>
        <family val="1"/>
      </rPr>
      <t>(ს1÷ს8)</t>
    </r>
  </si>
  <si>
    <r>
      <t xml:space="preserve">მონოლითური რკინაბეტონის სვეტების მოწყობა </t>
    </r>
    <r>
      <rPr>
        <sz val="10"/>
        <color indexed="10"/>
        <rFont val="Sylfaen"/>
        <family val="1"/>
      </rPr>
      <t>(ს1)</t>
    </r>
  </si>
  <si>
    <r>
      <t>მილკვადრატი 200</t>
    </r>
    <r>
      <rPr>
        <sz val="9"/>
        <rFont val="Sylfaen"/>
        <family val="1"/>
      </rPr>
      <t>X</t>
    </r>
    <r>
      <rPr>
        <sz val="11"/>
        <rFont val="Sylfaen"/>
        <family val="1"/>
      </rPr>
      <t>200</t>
    </r>
    <r>
      <rPr>
        <sz val="9"/>
        <rFont val="Sylfaen"/>
        <family val="1"/>
      </rPr>
      <t>X</t>
    </r>
    <r>
      <rPr>
        <sz val="11"/>
        <rFont val="Sylfaen"/>
        <family val="1"/>
      </rPr>
      <t>4</t>
    </r>
  </si>
  <si>
    <r>
      <t>მილკვადრატი 100</t>
    </r>
    <r>
      <rPr>
        <sz val="9"/>
        <rFont val="Sylfaen"/>
        <family val="1"/>
      </rPr>
      <t>X</t>
    </r>
    <r>
      <rPr>
        <sz val="11"/>
        <rFont val="Sylfaen"/>
        <family val="1"/>
      </rPr>
      <t>80</t>
    </r>
    <r>
      <rPr>
        <sz val="9"/>
        <rFont val="Sylfaen"/>
        <family val="1"/>
      </rPr>
      <t>X</t>
    </r>
    <r>
      <rPr>
        <sz val="11"/>
        <rFont val="Sylfaen"/>
        <family val="1"/>
      </rPr>
      <t>3</t>
    </r>
  </si>
  <si>
    <r>
      <t xml:space="preserve">ფურცლოვანი ფოლადი -8მმ. სისქის </t>
    </r>
    <r>
      <rPr>
        <sz val="10"/>
        <rFont val="Sylfaen"/>
        <family val="1"/>
      </rPr>
      <t>(300</t>
    </r>
    <r>
      <rPr>
        <sz val="9"/>
        <rFont val="Sylfaen"/>
        <family val="1"/>
      </rPr>
      <t>X</t>
    </r>
    <r>
      <rPr>
        <sz val="10"/>
        <rFont val="Sylfaen"/>
        <family val="1"/>
      </rPr>
      <t>300</t>
    </r>
    <r>
      <rPr>
        <sz val="9"/>
        <rFont val="Sylfaen"/>
        <family val="1"/>
      </rPr>
      <t>X</t>
    </r>
    <r>
      <rPr>
        <sz val="10"/>
        <rFont val="Sylfaen"/>
        <family val="1"/>
      </rPr>
      <t>8)</t>
    </r>
  </si>
  <si>
    <r>
      <t xml:space="preserve">  მაღალი ხარისხის ალუმინის ფანჯრების მოწყობა მინაპაკეტით </t>
    </r>
    <r>
      <rPr>
        <sz val="10"/>
        <color indexed="10"/>
        <rFont val="Sylfaen"/>
        <family val="1"/>
      </rPr>
      <t xml:space="preserve">(ფ1 ÷ ფ6)  </t>
    </r>
  </si>
  <si>
    <r>
      <t xml:space="preserve">  მაღალი ხარისხის ალუმინის ვიტრაჟების მოწყობა მინაპაკეტით </t>
    </r>
    <r>
      <rPr>
        <sz val="10"/>
        <color indexed="10"/>
        <rFont val="Sylfaen"/>
        <family val="1"/>
      </rPr>
      <t>(ვიტ1 ÷ ვიტ9)</t>
    </r>
  </si>
  <si>
    <r>
      <t xml:space="preserve">მდფ კარების ბლოკის მოწყობა </t>
    </r>
    <r>
      <rPr>
        <sz val="10"/>
        <color indexed="10"/>
        <rFont val="Sylfaen"/>
        <family val="1"/>
      </rPr>
      <t>(კ3 ÷ კ9)</t>
    </r>
  </si>
  <si>
    <r>
      <t>მდფ კარების ბლოკი</t>
    </r>
    <r>
      <rPr>
        <sz val="10"/>
        <rFont val="Sylfaen"/>
        <family val="1"/>
      </rPr>
      <t xml:space="preserve"> (აქსესუარებით) RAL7001</t>
    </r>
  </si>
  <si>
    <r>
      <t xml:space="preserve">Door Stop </t>
    </r>
    <r>
      <rPr>
        <sz val="10"/>
        <rFont val="Sylfaen"/>
        <family val="1"/>
      </rPr>
      <t>(კარების გამაჩერებელი)</t>
    </r>
  </si>
  <si>
    <r>
      <t xml:space="preserve">ლითონის კარების დამზადება და მონტაჟი </t>
    </r>
    <r>
      <rPr>
        <sz val="10"/>
        <color indexed="10"/>
        <rFont val="Sylfaen"/>
        <family val="1"/>
      </rPr>
      <t>(კ10; კ11)</t>
    </r>
  </si>
  <si>
    <t>ხანძარმედეგი ხსნარი</t>
  </si>
  <si>
    <t>ანტისეპტიკური ხსნარი</t>
  </si>
  <si>
    <t>danmati
1 gamosS.
7-58-4</t>
  </si>
  <si>
    <t>srf
4.1-211</t>
  </si>
  <si>
    <t>4.1-338</t>
  </si>
  <si>
    <t>damt.3
11-49 gamy.</t>
  </si>
  <si>
    <t>სპეც. წებო</t>
  </si>
  <si>
    <t xml:space="preserve">კაუჩუკის დეკორატიული ფილები </t>
  </si>
  <si>
    <r>
      <t xml:space="preserve">ღორღის ფენის მოწყობა </t>
    </r>
    <r>
      <rPr>
        <sz val="10"/>
        <rFont val="Sylfaen"/>
        <family val="1"/>
      </rPr>
      <t>(შემონეკირწყლის ქვეშ)</t>
    </r>
  </si>
  <si>
    <r>
      <t xml:space="preserve">ბეტონის ფილის მოწყობა </t>
    </r>
    <r>
      <rPr>
        <sz val="10"/>
        <rFont val="Sylfaen"/>
        <family val="1"/>
      </rPr>
      <t>(კაუჩუკის დეკორატიული ფილების ქვეშ)</t>
    </r>
  </si>
  <si>
    <r>
      <t xml:space="preserve">ღორღის ფენის მოწყობა </t>
    </r>
    <r>
      <rPr>
        <sz val="10"/>
        <rFont val="Sylfaen"/>
        <family val="1"/>
      </rPr>
      <t>(მონოლითური ბეტონის ფილის ქვეშ)</t>
    </r>
  </si>
  <si>
    <t xml:space="preserve"> შეღებილი თუნუქის საცრემლეების მონტაჟი ფანჯრებზე </t>
  </si>
  <si>
    <t>ლითონის კონსტრუქციის დამუშავება და შეღებვა მაღალი ხარისხის ანტიკოროზიული საღებავით</t>
  </si>
  <si>
    <r>
      <t>ლითონის კონსტრუქციის დამუშავება და შეღებვა მაღალი ხარისხის ანტიკოროზიული საღებავით</t>
    </r>
    <r>
      <rPr>
        <sz val="10"/>
        <rFont val="Sylfaen"/>
        <family val="1"/>
      </rPr>
      <t xml:space="preserve"> (სხვადასხვა ფერებში, იხ. არქიტექტურული პროექტი)</t>
    </r>
  </si>
  <si>
    <r>
      <t>შენობის გარე კედლების ლესვა ქვიშა - ცემენტის ხსნარით</t>
    </r>
    <r>
      <rPr>
        <b/>
        <sz val="11"/>
        <color indexed="10"/>
        <rFont val="Sylfaen"/>
        <family val="1"/>
      </rPr>
      <t xml:space="preserve"> </t>
    </r>
    <r>
      <rPr>
        <sz val="10"/>
        <color indexed="10"/>
        <rFont val="Sylfaen"/>
        <family val="1"/>
      </rPr>
      <t>(დამხმარე შენობა)</t>
    </r>
  </si>
  <si>
    <r>
      <t xml:space="preserve">შენობის გარე კედლების ლესვა ქვიშა - ცემენტის ხსნარით </t>
    </r>
    <r>
      <rPr>
        <sz val="10"/>
        <color indexed="10"/>
        <rFont val="Sylfaen"/>
        <family val="1"/>
      </rPr>
      <t>(ძირითადი შენობა)</t>
    </r>
  </si>
  <si>
    <r>
      <t xml:space="preserve">ფასადის კედლების შეფითხვნა "მიუნჰენით" </t>
    </r>
    <r>
      <rPr>
        <sz val="10"/>
        <color indexed="10"/>
        <rFont val="Sylfaen"/>
        <family val="1"/>
      </rPr>
      <t>(დამხმარე შენობა)</t>
    </r>
  </si>
  <si>
    <r>
      <t xml:space="preserve">ფასადის კედლების შეღებვა მაღალი ხარისხს ფასადის საღებავით </t>
    </r>
    <r>
      <rPr>
        <sz val="10"/>
        <color indexed="10"/>
        <rFont val="Sylfaen"/>
        <family val="1"/>
      </rPr>
      <t>(დამხმარე შენობა)</t>
    </r>
  </si>
  <si>
    <r>
      <t xml:space="preserve">ფასადის კედლების შეფითხვნა "მიუნჰენით" </t>
    </r>
    <r>
      <rPr>
        <sz val="10"/>
        <color indexed="10"/>
        <rFont val="Sylfaen"/>
        <family val="1"/>
      </rPr>
      <t>(ძირითადი შენობა)</t>
    </r>
  </si>
  <si>
    <r>
      <t xml:space="preserve">ფასადის კედლების შეღებვა მაღალი ხარისხს ფასადის საღებავით </t>
    </r>
    <r>
      <rPr>
        <sz val="10"/>
        <color indexed="10"/>
        <rFont val="Sylfaen"/>
        <family val="1"/>
      </rPr>
      <t>(ძირითადი შენობა)</t>
    </r>
  </si>
  <si>
    <r>
      <t xml:space="preserve">მეტალოპლასტმასის ფანჯრების მოწყობა მინაპაკეტით </t>
    </r>
    <r>
      <rPr>
        <sz val="10"/>
        <color indexed="10"/>
        <rFont val="Sylfaen"/>
        <family val="1"/>
      </rPr>
      <t xml:space="preserve">(დამხმარე შენობა)  </t>
    </r>
  </si>
  <si>
    <t>მეტალოპლასტმასის ფანჯრები RAL7016</t>
  </si>
  <si>
    <r>
      <t xml:space="preserve">ლითონის კარების დამზადება და მონტაჟი </t>
    </r>
    <r>
      <rPr>
        <sz val="10"/>
        <color indexed="10"/>
        <rFont val="Sylfaen"/>
        <family val="1"/>
      </rPr>
      <t xml:space="preserve"> (დამხმარე შენობა)  </t>
    </r>
  </si>
  <si>
    <r>
      <t>ლითონის მილკვადრატი □200</t>
    </r>
    <r>
      <rPr>
        <sz val="9"/>
        <rFont val="Sylfaen"/>
        <family val="1"/>
      </rPr>
      <t>X</t>
    </r>
    <r>
      <rPr>
        <sz val="11"/>
        <rFont val="Sylfaen"/>
        <family val="1"/>
      </rPr>
      <t>200</t>
    </r>
  </si>
  <si>
    <r>
      <t>ლითონის მილკვადრატი □100</t>
    </r>
    <r>
      <rPr>
        <sz val="9"/>
        <rFont val="Sylfaen"/>
        <family val="1"/>
      </rPr>
      <t>X</t>
    </r>
    <r>
      <rPr>
        <sz val="11"/>
        <rFont val="Sylfaen"/>
        <family val="1"/>
      </rPr>
      <t>100</t>
    </r>
  </si>
  <si>
    <t>იატაკების მოპირკეთება კერამოგრანიტის ფილებით</t>
  </si>
  <si>
    <t xml:space="preserve">პლინტუსების მოწყობა კერამოგრანიტის ფილებით  </t>
  </si>
  <si>
    <t>11-27-4</t>
  </si>
  <si>
    <t>5.1-66</t>
  </si>
  <si>
    <t>ალუმინის გადამყვანი</t>
  </si>
  <si>
    <t>11-42-2</t>
  </si>
  <si>
    <t>პლინტუსების მოწყობა</t>
  </si>
  <si>
    <t>მეტლახი</t>
  </si>
  <si>
    <r>
      <t xml:space="preserve">იატაკების მოპირკეთება მეტლახის ფილებით </t>
    </r>
    <r>
      <rPr>
        <sz val="10"/>
        <rFont val="Sylfaen"/>
        <family val="1"/>
      </rPr>
      <t>(სველ წერტილებში)</t>
    </r>
  </si>
  <si>
    <t>ჭერები</t>
  </si>
  <si>
    <t>01-4.1-02-01 knauf.</t>
  </si>
  <si>
    <t>15-168-8</t>
  </si>
  <si>
    <t>15-55-5</t>
  </si>
  <si>
    <t>4.1-253</t>
  </si>
  <si>
    <t>4.1-207</t>
  </si>
  <si>
    <t>15-14-1</t>
  </si>
  <si>
    <t>4.1-205</t>
  </si>
  <si>
    <t>15-168-7</t>
  </si>
  <si>
    <t>4.2-79</t>
  </si>
  <si>
    <t>კაფელი</t>
  </si>
  <si>
    <t>ნაჭედი ლითონის</t>
  </si>
  <si>
    <t>ხის მასალა (მშრალი)</t>
  </si>
  <si>
    <r>
      <t xml:space="preserve">შეღებილი თუნუქი </t>
    </r>
    <r>
      <rPr>
        <sz val="10"/>
        <rFont val="Sylfaen"/>
        <family val="1"/>
      </rPr>
      <t>(სისქით არანაკლებ 0.6 მმ.)</t>
    </r>
  </si>
  <si>
    <t>ორთქლსაიზოლაციო ფენა</t>
  </si>
  <si>
    <t>გარე ალუმინის მოაჯირეების მოწყობა, მინის გულით</t>
  </si>
  <si>
    <t>ლითონის მოაჯირი მინის გულით</t>
  </si>
  <si>
    <r>
      <t xml:space="preserve"> შენობის გარე კედლების მოწყობა 20სმ. სისქის იზობლოკით. </t>
    </r>
    <r>
      <rPr>
        <sz val="10"/>
        <rFont val="Sylfaen"/>
        <family val="1"/>
      </rPr>
      <t>(პარაპეტების კედლების ჩათვლით)</t>
    </r>
    <r>
      <rPr>
        <b/>
        <sz val="11"/>
        <rFont val="Sylfaen"/>
        <family val="1"/>
      </rPr>
      <t xml:space="preserve"> 20</t>
    </r>
    <r>
      <rPr>
        <b/>
        <sz val="9"/>
        <rFont val="Sylfaen"/>
        <family val="1"/>
      </rPr>
      <t>X</t>
    </r>
    <r>
      <rPr>
        <b/>
        <sz val="11"/>
        <rFont val="Sylfaen"/>
        <family val="1"/>
      </rPr>
      <t>19</t>
    </r>
    <r>
      <rPr>
        <b/>
        <sz val="9"/>
        <rFont val="Sylfaen"/>
        <family val="1"/>
      </rPr>
      <t>X</t>
    </r>
    <r>
      <rPr>
        <b/>
        <sz val="11"/>
        <rFont val="Sylfaen"/>
        <family val="1"/>
      </rPr>
      <t>39</t>
    </r>
  </si>
  <si>
    <r>
      <t>შენობის შიდა კედლების მოწყობა 15 სმ. სისქის მცირე ზომის საკედლე ბლოკით, 15</t>
    </r>
    <r>
      <rPr>
        <b/>
        <sz val="9"/>
        <rFont val="Sylfaen"/>
        <family val="1"/>
      </rPr>
      <t>X</t>
    </r>
    <r>
      <rPr>
        <b/>
        <sz val="11"/>
        <rFont val="Sylfaen"/>
        <family val="1"/>
      </rPr>
      <t>19</t>
    </r>
    <r>
      <rPr>
        <b/>
        <sz val="9"/>
        <rFont val="Sylfaen"/>
        <family val="1"/>
      </rPr>
      <t>X</t>
    </r>
    <r>
      <rPr>
        <b/>
        <sz val="11"/>
        <rFont val="Sylfaen"/>
        <family val="1"/>
      </rPr>
      <t>39</t>
    </r>
  </si>
  <si>
    <t>სამისამართო კვამლის დეტექტორი</t>
  </si>
  <si>
    <t>სამისამართო თბური დეტექტორი</t>
  </si>
  <si>
    <t xml:space="preserve">ლამინირებული პარკეტის იატაკის მოწყობა </t>
  </si>
  <si>
    <r>
      <t xml:space="preserve">ლამინატი ქვეშსაგებით </t>
    </r>
    <r>
      <rPr>
        <sz val="10"/>
        <rFont val="Sylfaen"/>
        <family val="1"/>
      </rPr>
      <t>(სისქით არანაკლებ 10 მმ; 33 კლასი)</t>
    </r>
  </si>
  <si>
    <t>შიდა კედლების და ფერდობების ლესვა ქვიშა-ცემენტის ხსნარით</t>
  </si>
  <si>
    <t xml:space="preserve">კერამიკული ფილების გაკვრა კედლებზე </t>
  </si>
  <si>
    <t>კაფელის კუთხოვანა</t>
  </si>
  <si>
    <t>წყალემულსიური საღებავი</t>
  </si>
  <si>
    <t>საფითხნი</t>
  </si>
  <si>
    <t>სამალიარო კუთხოვანა</t>
  </si>
  <si>
    <t>სამალიარო ბინტი</t>
  </si>
  <si>
    <t>ლითონის პროფილი (მიმართველი)</t>
  </si>
  <si>
    <t>ლითონის პროფილი (ჭერის)</t>
  </si>
  <si>
    <t>ლითონის შემაერთებელი პროფილი</t>
  </si>
  <si>
    <t>საკიდი პირდაპირი</t>
  </si>
  <si>
    <r>
      <t>დუბელი პლასტმასის 6</t>
    </r>
    <r>
      <rPr>
        <sz val="9"/>
        <rFont val="Sylfaen"/>
        <family val="1"/>
      </rPr>
      <t>X</t>
    </r>
    <r>
      <rPr>
        <sz val="11"/>
        <rFont val="Sylfaen"/>
        <family val="1"/>
      </rPr>
      <t>40 მმ.</t>
    </r>
  </si>
  <si>
    <r>
      <t>დუბელი ლითონის 6</t>
    </r>
    <r>
      <rPr>
        <sz val="9"/>
        <rFont val="Sylfaen"/>
        <family val="1"/>
      </rPr>
      <t>X</t>
    </r>
    <r>
      <rPr>
        <sz val="11"/>
        <rFont val="Sylfaen"/>
        <family val="1"/>
      </rPr>
      <t>40 მმ.</t>
    </r>
  </si>
  <si>
    <t>შემამჭიდროებელი ლენტა 30 მმ.</t>
  </si>
  <si>
    <t>შემამჭიდროებელი ლენტა 50 მმ.</t>
  </si>
  <si>
    <r>
      <t>თაბაშირმუყაოს ფილა 2500</t>
    </r>
    <r>
      <rPr>
        <sz val="9"/>
        <rFont val="Sylfaen"/>
        <family val="1"/>
      </rPr>
      <t>X</t>
    </r>
    <r>
      <rPr>
        <sz val="11"/>
        <rFont val="Sylfaen"/>
        <family val="1"/>
      </rPr>
      <t>1200</t>
    </r>
    <r>
      <rPr>
        <sz val="9"/>
        <rFont val="Sylfaen"/>
        <family val="1"/>
      </rPr>
      <t>X</t>
    </r>
    <r>
      <rPr>
        <sz val="11"/>
        <rFont val="Sylfaen"/>
        <family val="1"/>
      </rPr>
      <t>12.5მმ.</t>
    </r>
  </si>
  <si>
    <t>ჭანჭიკი სამშენებლო (სხვადასხვა ზომის)</t>
  </si>
  <si>
    <r>
      <t>ნესტგამძლე თაბაშირმუყაოს ფილა 2500</t>
    </r>
    <r>
      <rPr>
        <sz val="9"/>
        <rFont val="Sylfaen"/>
        <family val="1"/>
      </rPr>
      <t>X</t>
    </r>
    <r>
      <rPr>
        <sz val="11"/>
        <rFont val="Sylfaen"/>
        <family val="1"/>
      </rPr>
      <t>1200</t>
    </r>
    <r>
      <rPr>
        <sz val="9"/>
        <rFont val="Sylfaen"/>
        <family val="1"/>
      </rPr>
      <t>X</t>
    </r>
    <r>
      <rPr>
        <sz val="11"/>
        <rFont val="Sylfaen"/>
        <family val="1"/>
      </rPr>
      <t>12.5მმ</t>
    </r>
  </si>
  <si>
    <t>შეკიდული ჭერის მოწყობა ნესტგამძლე თაბაშირმუყაოს ფილებით</t>
  </si>
  <si>
    <t>შეკიდული ჭერის მოწყობა თაბაშირმუყაოს ფილებით</t>
  </si>
  <si>
    <t>კედლების და სვეტების დამუშავება და შეღებვა წყალემულსიური საღებავით</t>
  </si>
  <si>
    <t xml:space="preserve">შეღებილი თუნუქის სახურავის მოწყობა </t>
  </si>
  <si>
    <t>მაღალი სიმკრივის ქვაბამბა 100 მმ.</t>
  </si>
  <si>
    <t>დამატებითი დამათბუნებელი ფენის მოწყობა გადახურვის ქვეშ.</t>
  </si>
  <si>
    <t>შეღებილი თუნუქის სახურავის ძირის შეფუთვა ცეცხლმედეგი თაბაშირმუყაოს ფილებით</t>
  </si>
  <si>
    <t>პარაპეტის მოწყობა შეღებილი თუნუქის ფილებით</t>
  </si>
  <si>
    <r>
      <t>ცეცხლმედეგი თაბაშირმუყაოს ფილა 2500</t>
    </r>
    <r>
      <rPr>
        <sz val="9"/>
        <rFont val="Sylfaen"/>
        <family val="1"/>
      </rPr>
      <t>X</t>
    </r>
    <r>
      <rPr>
        <sz val="11"/>
        <rFont val="Sylfaen"/>
        <family val="1"/>
      </rPr>
      <t>1200</t>
    </r>
    <r>
      <rPr>
        <sz val="9"/>
        <rFont val="Sylfaen"/>
        <family val="1"/>
      </rPr>
      <t>X</t>
    </r>
    <r>
      <rPr>
        <sz val="11"/>
        <rFont val="Sylfaen"/>
        <family val="1"/>
      </rPr>
      <t>12.5მმ</t>
    </r>
  </si>
  <si>
    <r>
      <t xml:space="preserve"> შენობის შიდა კედლების მოწყობა 20სმ. სისქის ბლოკით. </t>
    </r>
    <r>
      <rPr>
        <sz val="10"/>
        <rFont val="Sylfaen"/>
        <family val="1"/>
      </rPr>
      <t>(პარაპეტების ჩათვლით)</t>
    </r>
    <r>
      <rPr>
        <b/>
        <sz val="11"/>
        <rFont val="Sylfaen"/>
        <family val="1"/>
      </rPr>
      <t xml:space="preserve"> 20</t>
    </r>
    <r>
      <rPr>
        <b/>
        <sz val="9"/>
        <rFont val="Sylfaen"/>
        <family val="1"/>
      </rPr>
      <t>X</t>
    </r>
    <r>
      <rPr>
        <b/>
        <sz val="11"/>
        <rFont val="Sylfaen"/>
        <family val="1"/>
      </rPr>
      <t>19</t>
    </r>
    <r>
      <rPr>
        <b/>
        <sz val="9"/>
        <rFont val="Sylfaen"/>
        <family val="1"/>
      </rPr>
      <t>X</t>
    </r>
    <r>
      <rPr>
        <b/>
        <sz val="11"/>
        <rFont val="Sylfaen"/>
        <family val="1"/>
      </rPr>
      <t>39</t>
    </r>
  </si>
  <si>
    <r>
      <t xml:space="preserve">დამხმარე შენობის კედლების მოწყობა 20სმ. სისქის იზობლოკით. </t>
    </r>
    <r>
      <rPr>
        <sz val="10"/>
        <rFont val="Sylfaen"/>
        <family val="1"/>
      </rPr>
      <t>(პარაპეტების კედლების ჩათვლით)</t>
    </r>
    <r>
      <rPr>
        <b/>
        <sz val="11"/>
        <rFont val="Sylfaen"/>
        <family val="1"/>
      </rPr>
      <t xml:space="preserve"> 20</t>
    </r>
    <r>
      <rPr>
        <b/>
        <sz val="9"/>
        <rFont val="Sylfaen"/>
        <family val="1"/>
      </rPr>
      <t>X</t>
    </r>
    <r>
      <rPr>
        <b/>
        <sz val="11"/>
        <rFont val="Sylfaen"/>
        <family val="1"/>
      </rPr>
      <t>19</t>
    </r>
    <r>
      <rPr>
        <b/>
        <sz val="9"/>
        <rFont val="Sylfaen"/>
        <family val="1"/>
      </rPr>
      <t>X</t>
    </r>
    <r>
      <rPr>
        <b/>
        <sz val="11"/>
        <rFont val="Sylfaen"/>
        <family val="1"/>
      </rPr>
      <t>39</t>
    </r>
  </si>
  <si>
    <t>ტერიტორიის შემოღობვა</t>
  </si>
  <si>
    <r>
      <t>მონოლითური რ/ბ საძირკვლის ფილის მოწყობა</t>
    </r>
    <r>
      <rPr>
        <b/>
        <sz val="10"/>
        <color indexed="10"/>
        <rFont val="Sylfaen"/>
        <family val="1"/>
      </rPr>
      <t xml:space="preserve"> </t>
    </r>
    <r>
      <rPr>
        <sz val="10"/>
        <color indexed="10"/>
        <rFont val="Sylfaen"/>
        <family val="1"/>
      </rPr>
      <t>(200 მმ. სისქის)</t>
    </r>
  </si>
  <si>
    <r>
      <t>მონოლითური რ/ბ კედლების მოწყობა</t>
    </r>
    <r>
      <rPr>
        <b/>
        <sz val="10"/>
        <color indexed="10"/>
        <rFont val="Sylfaen"/>
        <family val="1"/>
      </rPr>
      <t xml:space="preserve"> </t>
    </r>
    <r>
      <rPr>
        <sz val="10"/>
        <color indexed="10"/>
        <rFont val="Sylfaen"/>
        <family val="1"/>
      </rPr>
      <t>(300 მმ. სისქის)</t>
    </r>
  </si>
  <si>
    <r>
      <t>მონოლითური რკინაბეტონის გადახურვის ფილის მოწყობა</t>
    </r>
  </si>
  <si>
    <t xml:space="preserve">ლითონის თავსახური </t>
  </si>
  <si>
    <t>ასენიზაციის ორმო - 1</t>
  </si>
  <si>
    <t>ასენიზაციის ორმო - 2</t>
  </si>
  <si>
    <t>მიწისქვეშა ნაწილის ჰიდროიზოლაციის მოწყობა</t>
  </si>
  <si>
    <t>7-22-1</t>
  </si>
  <si>
    <t>2.2-85</t>
  </si>
  <si>
    <t>1.9-52</t>
  </si>
  <si>
    <t>1.10-14</t>
  </si>
  <si>
    <t>7-21-9 gam.</t>
  </si>
  <si>
    <t xml:space="preserve">ღორღის ფენის მოწყობა </t>
  </si>
  <si>
    <r>
      <t>მონოლითური რ/ბ ღობის ცოკოლის მოწყობა</t>
    </r>
    <r>
      <rPr>
        <b/>
        <sz val="10"/>
        <color indexed="10"/>
        <rFont val="Sylfaen"/>
        <family val="1"/>
      </rPr>
      <t xml:space="preserve"> </t>
    </r>
  </si>
  <si>
    <t>ლითონის დგარი</t>
  </si>
  <si>
    <t>ლითონის ჭიშკრების დამზადება და მონტაჟი</t>
  </si>
  <si>
    <t>პერიმეტრზე, მზა ლითონის ღობის მოწყობა</t>
  </si>
  <si>
    <r>
      <t xml:space="preserve">მზა ლითონის ღობე </t>
    </r>
    <r>
      <rPr>
        <sz val="10"/>
        <rFont val="Sylfaen"/>
        <family val="1"/>
      </rPr>
      <t>(ყველა მაკომპლექტებელი ელემენტის ჩათვლით)</t>
    </r>
  </si>
  <si>
    <r>
      <t xml:space="preserve">ლითონის ჭიშკარი </t>
    </r>
    <r>
      <rPr>
        <sz val="10"/>
        <rFont val="Sylfaen"/>
        <family val="1"/>
      </rPr>
      <t>(აქსესუარებით)</t>
    </r>
  </si>
  <si>
    <r>
      <t xml:space="preserve">ჯამი </t>
    </r>
    <r>
      <rPr>
        <sz val="11"/>
        <rFont val="Sylfaen"/>
        <family val="1"/>
      </rPr>
      <t xml:space="preserve"> </t>
    </r>
  </si>
  <si>
    <t>გარე სამშენებლო - მოსაპირკეთებელი სამუშაოები</t>
  </si>
  <si>
    <t>ლოკალური ხარჯთაღრიცხვა 1-8</t>
  </si>
  <si>
    <r>
      <t xml:space="preserve">კაუჩუკის დეკორატიული ფილების მოწყობა </t>
    </r>
    <r>
      <rPr>
        <sz val="10"/>
        <rFont val="Sylfaen"/>
        <family val="1"/>
      </rPr>
      <t xml:space="preserve">(სხვადასხვა ფერების, იხ. არქიტექტურული პროექტი)  </t>
    </r>
  </si>
  <si>
    <t>მონოლითური რკინაბეტონის ფილების, პანდუსების და კიბეების საფეხურების მოწყობა</t>
  </si>
  <si>
    <t>ქვიშა-ცემენტის ხსნარი მ150</t>
  </si>
  <si>
    <r>
      <t xml:space="preserve">შეღებილი მდფ პლინტუსი </t>
    </r>
    <r>
      <rPr>
        <sz val="10"/>
        <rFont val="Sylfaen"/>
        <family val="1"/>
      </rPr>
      <t xml:space="preserve">(H=8 სმ.; სისქე: 14 ÷ 16 მმ.) </t>
    </r>
  </si>
  <si>
    <t>ჭერების დამუშავება და შეღებვა წყალემულსიური საღებავით</t>
  </si>
  <si>
    <t>ლითონის ბადე (ლითონის მილკვადრატი □200X200; ლითონის მილკვადრატი □100X100)</t>
  </si>
  <si>
    <r>
      <t>ლითონის დეკორეტიული ელემენტების მოწყობა</t>
    </r>
    <r>
      <rPr>
        <sz val="10"/>
        <rFont val="Sylfaen"/>
        <family val="1"/>
      </rPr>
      <t xml:space="preserve"> </t>
    </r>
  </si>
  <si>
    <t>ფერადი მინების ჰორიზონტალური ვიტრაჟები</t>
  </si>
  <si>
    <t xml:space="preserve">ჰორიზონტალური ვიტრაჟების მოწყობა ფერადი მინებით </t>
  </si>
  <si>
    <t>sistemis damcleli (gamrecxi) ventili , saxanZro Slangis SemaerTebliT .</t>
  </si>
  <si>
    <r>
      <t xml:space="preserve">sakontrolo sasignalo sarqveli dayovnebis kameriT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80</t>
    </r>
  </si>
  <si>
    <r>
      <t xml:space="preserve">ფოლადის  მილი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150</t>
    </r>
  </si>
  <si>
    <r>
      <t xml:space="preserve">ფოლადის  მილი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80</t>
    </r>
  </si>
  <si>
    <r>
      <t xml:space="preserve">ფოლადის  მილი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50</t>
    </r>
  </si>
  <si>
    <r>
      <t xml:space="preserve">ფოლადის  მილი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18</t>
    </r>
  </si>
  <si>
    <r>
      <rPr>
        <sz val="11"/>
        <color indexed="8"/>
        <rFont val="Arial"/>
        <family val="2"/>
      </rPr>
      <t xml:space="preserve"> სოლისებრი</t>
    </r>
    <r>
      <rPr>
        <sz val="11"/>
        <color indexed="8"/>
        <rFont val="AcadNusx"/>
        <family val="0"/>
      </rPr>
      <t xml:space="preserve"> ურდული 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150</t>
    </r>
  </si>
  <si>
    <r>
      <rPr>
        <sz val="11"/>
        <color indexed="8"/>
        <rFont val="Arial"/>
        <family val="2"/>
      </rPr>
      <t xml:space="preserve"> სოლისებრი</t>
    </r>
    <r>
      <rPr>
        <sz val="11"/>
        <color indexed="8"/>
        <rFont val="AcadNusx"/>
        <family val="0"/>
      </rPr>
      <t xml:space="preserve"> ურდული 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 xml:space="preserve">80 </t>
    </r>
  </si>
  <si>
    <r>
      <t xml:space="preserve">უკუსარქველი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80</t>
    </r>
  </si>
  <si>
    <r>
      <t xml:space="preserve">ფოლადის  მუხლი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80</t>
    </r>
  </si>
  <si>
    <r>
      <t xml:space="preserve">ფოლადის  მილტუჩი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80</t>
    </r>
  </si>
  <si>
    <r>
      <t xml:space="preserve">აირგამშვები ონკანი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25</t>
    </r>
  </si>
  <si>
    <r>
      <t xml:space="preserve">ჰიდრავლიკური სირენა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18</t>
    </r>
  </si>
  <si>
    <r>
      <t xml:space="preserve">ელასტიური კომპენსატორი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80</t>
    </r>
  </si>
  <si>
    <r>
      <t xml:space="preserve">ელასტიური კომპენსატორი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150</t>
    </r>
  </si>
  <si>
    <r>
      <t>დისკური ურდული პოზიციის eლექტრონული ინდიკატორით (</t>
    </r>
    <r>
      <rPr>
        <sz val="11"/>
        <color indexed="8"/>
        <rFont val="Arial"/>
        <family val="2"/>
      </rPr>
      <t xml:space="preserve">Buerfly valve) </t>
    </r>
    <r>
      <rPr>
        <sz val="11"/>
        <color indexed="8"/>
        <rFont val="AcadNusx"/>
        <family val="0"/>
      </rPr>
      <t xml:space="preserve">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80</t>
    </r>
  </si>
  <si>
    <r>
      <t xml:space="preserve">ვენტურის წყალმზომი </t>
    </r>
    <r>
      <rPr>
        <sz val="11"/>
        <color indexed="8"/>
        <rFont val="Arial"/>
        <family val="2"/>
      </rPr>
      <t>Dn80  Pn16</t>
    </r>
  </si>
  <si>
    <r>
      <t xml:space="preserve">ფოლადის  სამკაპი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80</t>
    </r>
  </si>
  <si>
    <r>
      <t>nakadis reles testirebis kvanZi (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25 ventiliT,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cadNusx"/>
        <family val="0"/>
      </rPr>
      <t xml:space="preserve"> diafragmiT </t>
    </r>
    <r>
      <rPr>
        <sz val="11"/>
        <color indexed="8"/>
        <rFont val="Arial"/>
        <family val="2"/>
      </rPr>
      <t>K</t>
    </r>
    <r>
      <rPr>
        <sz val="11"/>
        <color indexed="8"/>
        <rFont val="AcadNusx"/>
        <family val="0"/>
      </rPr>
      <t>=80, manometriT 0-16 bari, ori 25mm ventiliT)</t>
    </r>
  </si>
  <si>
    <r>
      <t xml:space="preserve">ურდული პოზიციის eლექტრონული ინდიკატორით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80 (</t>
    </r>
    <r>
      <rPr>
        <sz val="11"/>
        <color indexed="8"/>
        <rFont val="Arial"/>
        <family val="2"/>
      </rPr>
      <t>Buterfly valve</t>
    </r>
    <r>
      <rPr>
        <sz val="11"/>
        <color indexed="8"/>
        <rFont val="AcadNusx"/>
        <family val="0"/>
      </rPr>
      <t xml:space="preserve">) </t>
    </r>
  </si>
  <si>
    <r>
      <t xml:space="preserve">სადრენაჟე ტუმბო </t>
    </r>
    <r>
      <rPr>
        <sz val="11"/>
        <color indexed="8"/>
        <rFont val="Arial"/>
        <family val="2"/>
      </rPr>
      <t>Nq=</t>
    </r>
    <r>
      <rPr>
        <sz val="11"/>
        <color indexed="8"/>
        <rFont val="AcadNusx"/>
        <family val="0"/>
      </rPr>
      <t xml:space="preserve">5l/wm </t>
    </r>
    <r>
      <rPr>
        <sz val="11"/>
        <color indexed="8"/>
        <rFont val="Arial"/>
        <family val="2"/>
      </rPr>
      <t xml:space="preserve">h=15მ P=1.5kwt, </t>
    </r>
    <r>
      <rPr>
        <sz val="11"/>
        <color indexed="8"/>
        <rFont val="Sylfaen"/>
        <family val="1"/>
      </rPr>
      <t>(დრენაჟის სისტემა)</t>
    </r>
  </si>
  <si>
    <r>
      <t xml:space="preserve">პოლიეთილენის მილი </t>
    </r>
    <r>
      <rPr>
        <sz val="11"/>
        <color indexed="8"/>
        <rFont val="Arial"/>
        <family val="2"/>
      </rPr>
      <t xml:space="preserve">PE100 PN16 </t>
    </r>
    <r>
      <rPr>
        <sz val="11"/>
        <color indexed="8"/>
        <rFont val="Calibri"/>
        <family val="2"/>
      </rPr>
      <t>Ø</t>
    </r>
    <r>
      <rPr>
        <sz val="11"/>
        <color indexed="8"/>
        <rFont val="AcadNusx"/>
        <family val="0"/>
      </rPr>
      <t>63; (დრენაჟის სისტემა)</t>
    </r>
  </si>
  <si>
    <r>
      <t xml:space="preserve">უკუსარქველი </t>
    </r>
    <r>
      <rPr>
        <sz val="11"/>
        <color indexed="8"/>
        <rFont val="Arial"/>
        <family val="2"/>
      </rPr>
      <t>Ø63; (დრენაჟის სისტემა)</t>
    </r>
  </si>
  <si>
    <r>
      <t xml:space="preserve">პოლიეთილენის  მილი </t>
    </r>
    <r>
      <rPr>
        <sz val="11"/>
        <color indexed="8"/>
        <rFont val="Arial"/>
        <family val="2"/>
      </rPr>
      <t xml:space="preserve">PE100 PN16 </t>
    </r>
    <r>
      <rPr>
        <sz val="11"/>
        <color indexed="8"/>
        <rFont val="Calibri"/>
        <family val="2"/>
      </rPr>
      <t>Ø</t>
    </r>
    <r>
      <rPr>
        <sz val="11"/>
        <color indexed="8"/>
        <rFont val="AcadNusx"/>
        <family val="0"/>
      </rPr>
      <t>32; (დრენაჟის სისტემა)</t>
    </r>
  </si>
  <si>
    <r>
      <t>urduli Tujis soliseburi</t>
    </r>
    <r>
      <rPr>
        <sz val="11"/>
        <rFont val="Arial"/>
        <family val="2"/>
      </rPr>
      <t xml:space="preserve"> PN16</t>
    </r>
    <r>
      <rPr>
        <sz val="11"/>
        <rFont val="AcadNusx"/>
        <family val="0"/>
      </rPr>
      <t>; (</t>
    </r>
    <r>
      <rPr>
        <sz val="11"/>
        <rFont val="Arial"/>
        <family val="2"/>
      </rPr>
      <t>DIN3476:1996</t>
    </r>
    <r>
      <rPr>
        <sz val="11"/>
        <rFont val="AcadNusx"/>
        <family val="0"/>
      </rPr>
      <t>-ის შესაბამისად) (Wis gareSe mowyobiT)</t>
    </r>
  </si>
  <si>
    <r>
      <t>zedapiris Talfaki urdulisTvis</t>
    </r>
    <r>
      <rPr>
        <sz val="11"/>
        <rFont val="Arial"/>
        <family val="2"/>
      </rPr>
      <t xml:space="preserve"> </t>
    </r>
  </si>
  <si>
    <r>
      <t xml:space="preserve">სახანძრო მანქანის მისაერთებელი თავაკი </t>
    </r>
    <r>
      <rPr>
        <sz val="11"/>
        <color indexed="8"/>
        <rFont val="Arial"/>
        <family val="2"/>
      </rPr>
      <t>Dn</t>
    </r>
    <r>
      <rPr>
        <sz val="11"/>
        <color indexed="8"/>
        <rFont val="AcadNusx"/>
        <family val="0"/>
      </rPr>
      <t>80 ჰიდრანტის ტიპის</t>
    </r>
  </si>
  <si>
    <t>bitumi Wების გარე კედლების დასამუშავებლად</t>
  </si>
  <si>
    <t>betoni Wis Raris mosawyobad</t>
  </si>
  <si>
    <t>შავი qviSis SeZena, motana, ukuCayra datkepvniT, plastmasis milebis qveS 10 sm, zevidan 20 sm da Wis fskeris mosamzadeblad</t>
  </si>
  <si>
    <r>
      <t>მ</t>
    </r>
    <r>
      <rPr>
        <sz val="14"/>
        <color indexed="8"/>
        <rFont val="Sylfaen"/>
        <family val="1"/>
      </rPr>
      <t>³</t>
    </r>
  </si>
  <si>
    <r>
      <t>მ</t>
    </r>
    <r>
      <rPr>
        <vertAlign val="superscript"/>
        <sz val="10"/>
        <color indexed="8"/>
        <rFont val="Sylfaen"/>
        <family val="1"/>
      </rPr>
      <t>3</t>
    </r>
  </si>
  <si>
    <r>
      <t xml:space="preserve">rk.betonis asenizaciis ormo 63m3 </t>
    </r>
    <r>
      <rPr>
        <sz val="10"/>
        <color indexed="10"/>
        <rFont val="AcadNusx"/>
        <family val="0"/>
      </rPr>
      <t>(იხ. გარე სამშ. სამ.; ლოკალური ხარჯთაღრიცხვა 1-8)</t>
    </r>
  </si>
  <si>
    <r>
      <t xml:space="preserve">rk.betonis asenizaciis ormo 31m3 </t>
    </r>
    <r>
      <rPr>
        <sz val="10"/>
        <color indexed="10"/>
        <rFont val="AcadNusx"/>
        <family val="0"/>
      </rPr>
      <t>(იხ. გარე სამშ. სამ.; ლოკალური ხარჯთაღრიცხვა 1-8)</t>
    </r>
  </si>
  <si>
    <r>
      <t xml:space="preserve">ტივტივა სარქველი </t>
    </r>
    <r>
      <rPr>
        <sz val="10"/>
        <color indexed="8"/>
        <rFont val="Arial"/>
        <family val="2"/>
      </rPr>
      <t>Dn</t>
    </r>
    <r>
      <rPr>
        <sz val="11.5"/>
        <color indexed="8"/>
        <rFont val="AcadNusx"/>
        <family val="0"/>
      </rPr>
      <t>50 (</t>
    </r>
    <r>
      <rPr>
        <sz val="11.5"/>
        <color indexed="8"/>
        <rFont val="Arial"/>
        <family val="2"/>
      </rPr>
      <t>Ø</t>
    </r>
    <r>
      <rPr>
        <sz val="11.5"/>
        <color indexed="8"/>
        <rFont val="AcadNusx"/>
        <family val="0"/>
      </rPr>
      <t>63)</t>
    </r>
  </si>
  <si>
    <r>
      <t xml:space="preserve">სახანძრო ტუმბოების მოდული. ორტუმბოიანი, </t>
    </r>
    <r>
      <rPr>
        <sz val="11"/>
        <color indexed="8"/>
        <rFont val="Arial"/>
        <family val="2"/>
      </rPr>
      <t>NKq=</t>
    </r>
    <r>
      <rPr>
        <sz val="11"/>
        <color indexed="8"/>
        <rFont val="AcadNusx"/>
        <family val="0"/>
      </rPr>
      <t xml:space="preserve">18.5l/wm </t>
    </r>
    <r>
      <rPr>
        <sz val="11"/>
        <color indexed="8"/>
        <rFont val="Arial"/>
        <family val="2"/>
      </rPr>
      <t>h=38მ P=18.5 kwt, ჟოკეი ტუმბოთი   q=0.8l/wm h=48მ P=1.5kwt</t>
    </r>
  </si>
  <si>
    <t>haersatarebis Tboizolacia (mineraluri bamba)</t>
  </si>
  <si>
    <t>haersatarebis Tboizolacia (kauCuki )</t>
  </si>
  <si>
    <t>adaპtori   Ø16</t>
  </si>
  <si>
    <t>15-12-1</t>
  </si>
  <si>
    <t>4.1-198</t>
  </si>
  <si>
    <t>4.1-159</t>
  </si>
  <si>
    <t>მარმარილოს რაფების მონტაჟი</t>
  </si>
  <si>
    <r>
      <t>მ</t>
    </r>
    <r>
      <rPr>
        <vertAlign val="superscript"/>
        <sz val="10"/>
        <color indexed="10"/>
        <rFont val="Sylfaen"/>
        <family val="1"/>
      </rPr>
      <t>2</t>
    </r>
  </si>
  <si>
    <r>
      <t>მ</t>
    </r>
    <r>
      <rPr>
        <b/>
        <vertAlign val="superscript"/>
        <sz val="10"/>
        <color indexed="10"/>
        <rFont val="Sylfaen"/>
        <family val="1"/>
      </rPr>
      <t>2</t>
    </r>
  </si>
  <si>
    <r>
      <t>მ</t>
    </r>
    <r>
      <rPr>
        <vertAlign val="superscript"/>
        <sz val="10"/>
        <color indexed="10"/>
        <rFont val="Sylfaen"/>
        <family val="1"/>
      </rPr>
      <t>3</t>
    </r>
  </si>
  <si>
    <r>
      <t xml:space="preserve">მარმარილოს ფილა </t>
    </r>
    <r>
      <rPr>
        <sz val="10"/>
        <color indexed="10"/>
        <rFont val="AcadNusx"/>
        <family val="0"/>
      </rPr>
      <t>(2 სმ. სისქის)</t>
    </r>
  </si>
  <si>
    <t xml:space="preserve"> ტექნიკური სარემონტო ლუკი</t>
  </si>
  <si>
    <r>
      <t xml:space="preserve"> ტექნიკური სარემონტო ლუკების მოწყობა  თაბაშირმუყაოს ჭერში </t>
    </r>
    <r>
      <rPr>
        <sz val="11"/>
        <color indexed="10"/>
        <rFont val="Sylfaen"/>
        <family val="1"/>
      </rPr>
      <t>( ზომით 50x50 სმ )</t>
    </r>
  </si>
  <si>
    <t>1-9</t>
  </si>
  <si>
    <t>27-19-1</t>
  </si>
  <si>
    <t>4.1-151</t>
  </si>
  <si>
    <t>ბეტონის ბორდიურების მოწყობა</t>
  </si>
  <si>
    <t>გამწვანება</t>
  </si>
  <si>
    <t>48-18-4</t>
  </si>
  <si>
    <t>ტერიტორიაზე რულონური ბელტის დაგება</t>
  </si>
  <si>
    <t>რულონური ბელტი</t>
  </si>
  <si>
    <t>ტერიტორიაზე მიწის მცენარეული ფენის შემოტანა და გაშლა</t>
  </si>
  <si>
    <t>შავი მიწა</t>
  </si>
  <si>
    <t>11-30-7</t>
  </si>
  <si>
    <t>ბაზალტის ფილები</t>
  </si>
  <si>
    <r>
      <t xml:space="preserve">ბაზალტის ფილების დაგება </t>
    </r>
    <r>
      <rPr>
        <sz val="10"/>
        <color indexed="10"/>
        <rFont val="Sylfaen"/>
        <family val="1"/>
      </rPr>
      <t>(გარე კიბეების და პანდუსების მოპირკეთება)</t>
    </r>
  </si>
  <si>
    <t xml:space="preserve">ბეტონის ბორდიური </t>
  </si>
  <si>
    <t xml:space="preserve">მცირე ზომის ბაზალტის ბორდიური </t>
  </si>
  <si>
    <t>Tuvalet Kağıtlığı</t>
  </si>
  <si>
    <t>PAKKENS</t>
  </si>
  <si>
    <t>UNIVAL</t>
  </si>
  <si>
    <t>KES KLİMA</t>
  </si>
  <si>
    <t>tek kişilik yaylı oyuncak</t>
  </si>
  <si>
    <t xml:space="preserve">დამატებითი სამუშაოები </t>
  </si>
  <si>
    <t xml:space="preserve">ჩაშენებული რეზერუარი </t>
  </si>
  <si>
    <t xml:space="preserve">ნაგვის ურნა </t>
  </si>
  <si>
    <t xml:space="preserve">ტუალეტის ჯაგრისი </t>
  </si>
  <si>
    <t xml:space="preserve">საქაღალდე </t>
  </si>
  <si>
    <t>საქაღალდე ტუალეტის</t>
  </si>
  <si>
    <t>გარე განათბის ბოძი 400*100 cm 4000K, LED 35W IP65 Aydınlatma Direği</t>
  </si>
  <si>
    <t xml:space="preserve">გარე განათების კომუნიკაციები ( კაბელი,გოფრე ) </t>
  </si>
  <si>
    <t>თერმომეტრი  0°-+120°C</t>
  </si>
  <si>
    <t>DN15 Emniyet Ventili ( ონკანი)</t>
  </si>
  <si>
    <t>DN25 Emniyet Ventili  ( ონკანი)</t>
  </si>
  <si>
    <t>DN40 Emniyet Ventili  ( ონკანი)</t>
  </si>
  <si>
    <t xml:space="preserve">Gemici Anemostat Ø100 ( გამწოვი ) </t>
  </si>
  <si>
    <t>რადიატორის მილების შესაფუთი პლასმასი ( კედლიდან გადმოშვერილი)</t>
  </si>
  <si>
    <t>გიფს კარდონით შახტების შეფუთვა (დამუშავება, შეღებვა)</t>
  </si>
  <si>
    <t>3 ცალი დროშის სადგამი ( 6 მეტრიანი)</t>
  </si>
  <si>
    <t xml:space="preserve">სახურავზე იატაკის მოჭიმვა ( საბოლო ფენა) </t>
  </si>
  <si>
    <t xml:space="preserve">საქანელა </t>
  </si>
  <si>
    <t xml:space="preserve">სასრიალო </t>
  </si>
  <si>
    <t xml:space="preserve">სკამი </t>
  </si>
  <si>
    <t>აიწონა-დაიწონა</t>
  </si>
  <si>
    <t>ატრაქციონების მონტაჟი</t>
  </si>
  <si>
    <t>ერთ.</t>
  </si>
  <si>
    <t xml:space="preserve">ერთ. ფასი </t>
  </si>
  <si>
    <t>მოდელი</t>
  </si>
  <si>
    <t xml:space="preserve">დროშის სადგამის ფუნდამეტი </t>
  </si>
  <si>
    <t>ბორდიურზე, სახურავიდან ჩამოსული სანიაღვრე კანალი ( რენდერებში იხილეთ)</t>
  </si>
  <si>
    <t xml:space="preserve">სამშენებლო სამუშაოები </t>
  </si>
  <si>
    <t>გრძ. მეტრი</t>
  </si>
  <si>
    <t>მარკა</t>
  </si>
  <si>
    <t xml:space="preserve">მოდელი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</si>
</sst>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L_a_r_i_-;\-* #,##0.00\ _L_a_r_i_-;_-* &quot;-&quot;??\ _L_a_r_i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0.0"/>
    <numFmt numFmtId="176" formatCode="0.000"/>
    <numFmt numFmtId="177" formatCode="#,##0.0;[Red]#,##0.0"/>
    <numFmt numFmtId="178" formatCode="#,##0.0"/>
    <numFmt numFmtId="179" formatCode="0.0000"/>
    <numFmt numFmtId="180" formatCode="0.00000"/>
    <numFmt numFmtId="181" formatCode="0.0%"/>
    <numFmt numFmtId="182" formatCode="_-* #,##0.000_-;\-* #,##0.000_-;_-* &quot;-&quot;??_-;_-@_-"/>
    <numFmt numFmtId="183" formatCode="_-* #,##0.0000_-;\-* #,##0.0000_-;_-* &quot;-&quot;??_-;_-@_-"/>
    <numFmt numFmtId="184" formatCode="0.000000"/>
    <numFmt numFmtId="185" formatCode="0.0000000"/>
    <numFmt numFmtId="186" formatCode="#,##0.000"/>
    <numFmt numFmtId="187" formatCode="_-* #,##0.00\ _₽_-;\-* #,##0.00\ _₽_-;_-* &quot;-&quot;??\ _₽_-;_-@_-"/>
    <numFmt numFmtId="188" formatCode="[$€-2]\ #,##0.00"/>
    <numFmt numFmtId="189" formatCode="#.##"/>
    <numFmt numFmtId="190" formatCode="dd\.mm\.yyyy;@"/>
  </numFmts>
  <fonts count="1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name val="AcadNusx"/>
      <family val="0"/>
    </font>
    <font>
      <b/>
      <sz val="11"/>
      <name val="AcadNusx"/>
      <family val="0"/>
    </font>
    <font>
      <sz val="11"/>
      <name val="Arial"/>
      <family val="2"/>
    </font>
    <font>
      <sz val="10"/>
      <name val="ChveuNusx"/>
      <family val="0"/>
    </font>
    <font>
      <sz val="10"/>
      <name val="MS Sans Serif"/>
      <family val="2"/>
    </font>
    <font>
      <b/>
      <sz val="11"/>
      <name val="Arial"/>
      <family val="2"/>
    </font>
    <font>
      <sz val="10"/>
      <name val="Sylfaen"/>
      <family val="1"/>
    </font>
    <font>
      <sz val="11"/>
      <name val="Sylfaen"/>
      <family val="1"/>
    </font>
    <font>
      <sz val="10"/>
      <name val="Arial Cyr"/>
      <family val="0"/>
    </font>
    <font>
      <sz val="11"/>
      <color indexed="8"/>
      <name val="AcadNusx"/>
      <family val="0"/>
    </font>
    <font>
      <sz val="11"/>
      <color indexed="8"/>
      <name val="Arial"/>
      <family val="2"/>
    </font>
    <font>
      <b/>
      <sz val="16"/>
      <color indexed="8"/>
      <name val="AcadNusx"/>
      <family val="0"/>
    </font>
    <font>
      <sz val="12"/>
      <color indexed="8"/>
      <name val="AcadNusx"/>
      <family val="0"/>
    </font>
    <font>
      <b/>
      <sz val="10"/>
      <color indexed="8"/>
      <name val="AcadNusx"/>
      <family val="0"/>
    </font>
    <font>
      <b/>
      <sz val="13"/>
      <color indexed="8"/>
      <name val="AcadNusx"/>
      <family val="0"/>
    </font>
    <font>
      <b/>
      <sz val="11"/>
      <name val="Sylfaen"/>
      <family val="1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b/>
      <i/>
      <sz val="10.5"/>
      <name val="Sylfaen"/>
      <family val="1"/>
    </font>
    <font>
      <b/>
      <sz val="12"/>
      <color indexed="8"/>
      <name val="Sylfaen"/>
      <family val="1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vertAlign val="superscript"/>
      <sz val="11"/>
      <name val="Sylfaen"/>
      <family val="1"/>
    </font>
    <font>
      <b/>
      <sz val="9"/>
      <name val="Sylfaen"/>
      <family val="1"/>
    </font>
    <font>
      <sz val="10"/>
      <color indexed="10"/>
      <name val="Sylfaen"/>
      <family val="1"/>
    </font>
    <font>
      <sz val="9"/>
      <name val="Sylfaen"/>
      <family val="1"/>
    </font>
    <font>
      <b/>
      <sz val="11"/>
      <color indexed="10"/>
      <name val="Sylfaen"/>
      <family val="1"/>
    </font>
    <font>
      <b/>
      <sz val="10"/>
      <color indexed="10"/>
      <name val="Sylfaen"/>
      <family val="1"/>
    </font>
    <font>
      <b/>
      <sz val="10"/>
      <name val="AcadNusx"/>
      <family val="0"/>
    </font>
    <font>
      <sz val="10"/>
      <name val="AcadNusx"/>
      <family val="0"/>
    </font>
    <font>
      <sz val="10"/>
      <color indexed="10"/>
      <name val="AcadNusx"/>
      <family val="0"/>
    </font>
    <font>
      <sz val="9"/>
      <name val="AcadNusx"/>
      <family val="0"/>
    </font>
    <font>
      <sz val="10"/>
      <name val="Calibri"/>
      <family val="2"/>
    </font>
    <font>
      <b/>
      <i/>
      <sz val="10"/>
      <name val="AcadNusx"/>
      <family val="0"/>
    </font>
    <font>
      <sz val="11"/>
      <color indexed="8"/>
      <name val="არია"/>
      <family val="0"/>
    </font>
    <font>
      <sz val="11"/>
      <name val="Calibri"/>
      <family val="2"/>
    </font>
    <font>
      <b/>
      <sz val="10"/>
      <name val="Arial"/>
      <family val="2"/>
    </font>
    <font>
      <sz val="14"/>
      <name val="AcadNusx"/>
      <family val="0"/>
    </font>
    <font>
      <b/>
      <sz val="10"/>
      <name val="Helv"/>
      <family val="0"/>
    </font>
    <font>
      <b/>
      <i/>
      <sz val="10.5"/>
      <name val="AcadNusx"/>
      <family val="0"/>
    </font>
    <font>
      <b/>
      <sz val="12"/>
      <name val="AcadNusx"/>
      <family val="0"/>
    </font>
    <font>
      <sz val="11"/>
      <color indexed="8"/>
      <name val="Avaza"/>
      <family val="2"/>
    </font>
    <font>
      <b/>
      <sz val="8"/>
      <color indexed="8"/>
      <name val="Arial"/>
      <family val="2"/>
    </font>
    <font>
      <sz val="10"/>
      <color indexed="8"/>
      <name val="Avaz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cad Nusx Geo"/>
      <family val="2"/>
    </font>
    <font>
      <sz val="10"/>
      <color indexed="8"/>
      <name val="Avaza Mtavruli"/>
      <family val="2"/>
    </font>
    <font>
      <sz val="8"/>
      <color indexed="8"/>
      <name val="Avaza"/>
      <family val="2"/>
    </font>
    <font>
      <b/>
      <sz val="12"/>
      <color indexed="8"/>
      <name val="Avaza"/>
      <family val="2"/>
    </font>
    <font>
      <b/>
      <sz val="10"/>
      <color indexed="8"/>
      <name val="Avaza"/>
      <family val="2"/>
    </font>
    <font>
      <b/>
      <sz val="10"/>
      <color indexed="8"/>
      <name val="Arial"/>
      <family val="2"/>
    </font>
    <font>
      <b/>
      <sz val="8"/>
      <color indexed="8"/>
      <name val="Avaza"/>
      <family val="2"/>
    </font>
    <font>
      <b/>
      <sz val="12"/>
      <color indexed="8"/>
      <name val="Arial"/>
      <family val="2"/>
    </font>
    <font>
      <b/>
      <sz val="11"/>
      <color indexed="8"/>
      <name val="Avaza Mtavruli"/>
      <family val="2"/>
    </font>
    <font>
      <u val="single"/>
      <sz val="9"/>
      <color indexed="12"/>
      <name val="Arial"/>
      <family val="2"/>
    </font>
    <font>
      <sz val="10"/>
      <color indexed="8"/>
      <name val="AcadNusx"/>
      <family val="0"/>
    </font>
    <font>
      <sz val="10"/>
      <color indexed="8"/>
      <name val="Calibri"/>
      <family val="2"/>
    </font>
    <font>
      <sz val="11"/>
      <color indexed="8"/>
      <name val="Arial Black"/>
      <family val="2"/>
    </font>
    <font>
      <sz val="10"/>
      <color indexed="8"/>
      <name val="LitNusx"/>
      <family val="0"/>
    </font>
    <font>
      <sz val="11.5"/>
      <color indexed="8"/>
      <name val="AcadNusx"/>
      <family val="0"/>
    </font>
    <font>
      <sz val="11.5"/>
      <color indexed="8"/>
      <name val="Arial"/>
      <family val="2"/>
    </font>
    <font>
      <sz val="11.5"/>
      <name val="AcadNusx"/>
      <family val="0"/>
    </font>
    <font>
      <sz val="11"/>
      <color indexed="63"/>
      <name val="AcadNusx"/>
      <family val="0"/>
    </font>
    <font>
      <sz val="11"/>
      <color indexed="63"/>
      <name val="Arial"/>
      <family val="2"/>
    </font>
    <font>
      <sz val="11"/>
      <color indexed="63"/>
      <name val="Times New Roman"/>
      <family val="1"/>
    </font>
    <font>
      <sz val="11"/>
      <color indexed="8"/>
      <name val="Sylfaen"/>
      <family val="1"/>
    </font>
    <font>
      <sz val="11"/>
      <color indexed="63"/>
      <name val="Sylfaen"/>
      <family val="1"/>
    </font>
    <font>
      <sz val="10"/>
      <color indexed="8"/>
      <name val="Sylfaen"/>
      <family val="1"/>
    </font>
    <font>
      <vertAlign val="superscript"/>
      <sz val="10"/>
      <color indexed="8"/>
      <name val="Sylfaen"/>
      <family val="1"/>
    </font>
    <font>
      <sz val="14"/>
      <color indexed="8"/>
      <name val="Sylfaen"/>
      <family val="1"/>
    </font>
    <font>
      <sz val="11"/>
      <color indexed="10"/>
      <name val="Sylfaen"/>
      <family val="1"/>
    </font>
    <font>
      <vertAlign val="superscript"/>
      <sz val="10"/>
      <color indexed="10"/>
      <name val="Sylfaen"/>
      <family val="1"/>
    </font>
    <font>
      <b/>
      <vertAlign val="superscript"/>
      <sz val="10"/>
      <color indexed="10"/>
      <name val="Sylfaen"/>
      <family val="1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10"/>
      <name val="AcadNusx"/>
      <family val="0"/>
    </font>
    <font>
      <b/>
      <sz val="11"/>
      <color indexed="10"/>
      <name val="AcadNusx"/>
      <family val="0"/>
    </font>
    <font>
      <b/>
      <sz val="10"/>
      <color indexed="10"/>
      <name val="AcadNusx"/>
      <family val="0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AcadMtavr"/>
      <family val="0"/>
    </font>
    <font>
      <b/>
      <sz val="10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indexed="30"/>
      <name val="Sylfaen"/>
      <family val="1"/>
    </font>
    <font>
      <b/>
      <sz val="11"/>
      <color indexed="30"/>
      <name val="Sylfaen"/>
      <family val="1"/>
    </font>
    <font>
      <sz val="10"/>
      <color indexed="56"/>
      <name val="Sylfaen"/>
      <family val="1"/>
    </font>
    <font>
      <sz val="11"/>
      <color indexed="10"/>
      <name val="Arial"/>
      <family val="2"/>
    </font>
    <font>
      <b/>
      <i/>
      <sz val="10.5"/>
      <color indexed="10"/>
      <name val="Sylfaen"/>
      <family val="1"/>
    </font>
    <font>
      <b/>
      <sz val="11"/>
      <color indexed="8"/>
      <name val="Tahoma"/>
      <family val="2"/>
    </font>
    <font>
      <b/>
      <sz val="14"/>
      <color indexed="8"/>
      <name val="Tahoma"/>
      <family val="2"/>
    </font>
    <font>
      <b/>
      <sz val="16"/>
      <color indexed="10"/>
      <name val="AcadNusx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FF0000"/>
      <name val="AcadNusx"/>
      <family val="0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  <font>
      <sz val="11"/>
      <color rgb="FFFF0000"/>
      <name val="Sylfaen"/>
      <family val="1"/>
    </font>
    <font>
      <sz val="10"/>
      <color rgb="FFFF0000"/>
      <name val="AcadNusx"/>
      <family val="0"/>
    </font>
    <font>
      <sz val="11"/>
      <color theme="1"/>
      <name val="Arial"/>
      <family val="2"/>
    </font>
    <font>
      <b/>
      <sz val="11"/>
      <color rgb="FFFF0000"/>
      <name val="AcadNusx"/>
      <family val="0"/>
    </font>
    <font>
      <b/>
      <sz val="10"/>
      <color rgb="FFFF0000"/>
      <name val="AcadNusx"/>
      <family val="0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cadMtavr"/>
      <family val="0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u val="single"/>
      <sz val="8"/>
      <color theme="10"/>
      <name val="Arial"/>
      <family val="2"/>
    </font>
    <font>
      <sz val="11"/>
      <color rgb="FF0070C0"/>
      <name val="Sylfaen"/>
      <family val="1"/>
    </font>
    <font>
      <b/>
      <sz val="11"/>
      <color rgb="FF0070C0"/>
      <name val="Sylfaen"/>
      <family val="1"/>
    </font>
    <font>
      <sz val="10"/>
      <color rgb="FF002060"/>
      <name val="Sylfaen"/>
      <family val="1"/>
    </font>
    <font>
      <sz val="11"/>
      <color theme="1"/>
      <name val="AcadNusx"/>
      <family val="0"/>
    </font>
    <font>
      <b/>
      <sz val="11"/>
      <color rgb="FFFF0000"/>
      <name val="Sylfaen"/>
      <family val="1"/>
    </font>
    <font>
      <sz val="11"/>
      <color rgb="FFFF0000"/>
      <name val="Arial"/>
      <family val="2"/>
    </font>
    <font>
      <b/>
      <i/>
      <sz val="10.5"/>
      <color rgb="FFFF0000"/>
      <name val="Sylfaen"/>
      <family val="1"/>
    </font>
    <font>
      <b/>
      <sz val="11"/>
      <color theme="1"/>
      <name val="Tahoma"/>
      <family val="2"/>
    </font>
    <font>
      <sz val="10"/>
      <color rgb="FF000000"/>
      <name val="Arial"/>
      <family val="2"/>
    </font>
    <font>
      <b/>
      <sz val="14"/>
      <color theme="1"/>
      <name val="Tahoma"/>
      <family val="2"/>
    </font>
    <font>
      <b/>
      <sz val="16"/>
      <color rgb="FFFF0000"/>
      <name val="AcadNusx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3" fillId="20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1" fontId="117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1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8" fillId="0" borderId="6" applyNumberFormat="0" applyFill="0" applyAlignment="0" applyProtection="0"/>
    <xf numFmtId="0" fontId="15" fillId="21" borderId="2" applyNumberForma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20" fillId="22" borderId="8" applyNumberFormat="0" applyFont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1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7" borderId="1" applyNumberFormat="0" applyAlignment="0" applyProtection="0"/>
    <xf numFmtId="0" fontId="21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2" fillId="20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9" applyNumberFormat="0" applyAlignment="0" applyProtection="0"/>
    <xf numFmtId="0" fontId="13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2" applyNumberFormat="0" applyAlignment="0" applyProtection="0"/>
    <xf numFmtId="0" fontId="4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1" fillId="0" borderId="0">
      <alignment/>
      <protection/>
    </xf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95">
    <xf numFmtId="0" fontId="0" fillId="0" borderId="0" xfId="0" applyAlignment="1">
      <alignment/>
    </xf>
    <xf numFmtId="0" fontId="31" fillId="0" borderId="0" xfId="706" applyFont="1" applyAlignment="1">
      <alignment horizontal="center" vertical="center"/>
      <protection/>
    </xf>
    <xf numFmtId="0" fontId="31" fillId="0" borderId="0" xfId="706" applyFont="1" applyAlignment="1">
      <alignment vertical="center"/>
      <protection/>
    </xf>
    <xf numFmtId="0" fontId="33" fillId="0" borderId="0" xfId="706" applyFont="1" applyAlignment="1">
      <alignment horizontal="center" vertical="center"/>
      <protection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118" fillId="0" borderId="0" xfId="706" applyFont="1" applyAlignment="1">
      <alignment vertical="center" wrapText="1"/>
      <protection/>
    </xf>
    <xf numFmtId="0" fontId="35" fillId="0" borderId="0" xfId="706" applyFont="1" applyAlignment="1">
      <alignment vertical="center" wrapText="1"/>
      <protection/>
    </xf>
    <xf numFmtId="0" fontId="29" fillId="0" borderId="0" xfId="708" applyFont="1" applyAlignment="1">
      <alignment vertical="center"/>
      <protection/>
    </xf>
    <xf numFmtId="0" fontId="29" fillId="0" borderId="0" xfId="706" applyFont="1" applyAlignment="1">
      <alignment vertical="center"/>
      <protection/>
    </xf>
    <xf numFmtId="0" fontId="40" fillId="0" borderId="0" xfId="708" applyFont="1" applyAlignment="1">
      <alignment vertical="center"/>
      <protection/>
    </xf>
    <xf numFmtId="0" fontId="40" fillId="0" borderId="0" xfId="708" applyFont="1" applyAlignment="1">
      <alignment horizontal="center" vertical="center"/>
      <protection/>
    </xf>
    <xf numFmtId="0" fontId="29" fillId="0" borderId="0" xfId="708" applyFont="1" applyAlignment="1">
      <alignment horizontal="left" vertical="center"/>
      <protection/>
    </xf>
    <xf numFmtId="0" fontId="29" fillId="24" borderId="0" xfId="708" applyFont="1" applyFill="1" applyAlignment="1">
      <alignment vertical="center"/>
      <protection/>
    </xf>
    <xf numFmtId="0" fontId="2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175" fontId="29" fillId="0" borderId="0" xfId="708" applyNumberFormat="1" applyFont="1" applyAlignment="1">
      <alignment vertical="center"/>
      <protection/>
    </xf>
    <xf numFmtId="2" fontId="28" fillId="24" borderId="12" xfId="0" applyNumberFormat="1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41" fillId="24" borderId="0" xfId="0" applyFont="1" applyFill="1" applyAlignment="1">
      <alignment horizontal="center" vertical="center" wrapText="1"/>
    </xf>
    <xf numFmtId="2" fontId="37" fillId="24" borderId="0" xfId="0" applyNumberFormat="1" applyFont="1" applyFill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 wrapText="1"/>
    </xf>
    <xf numFmtId="2" fontId="29" fillId="24" borderId="0" xfId="0" applyNumberFormat="1" applyFont="1" applyFill="1" applyBorder="1" applyAlignment="1">
      <alignment horizontal="center" vertical="center" wrapText="1"/>
    </xf>
    <xf numFmtId="0" fontId="37" fillId="24" borderId="0" xfId="0" applyFont="1" applyFill="1" applyAlignment="1">
      <alignment horizontal="center" vertical="center"/>
    </xf>
    <xf numFmtId="0" fontId="28" fillId="24" borderId="13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2" fontId="29" fillId="24" borderId="13" xfId="0" applyNumberFormat="1" applyFont="1" applyFill="1" applyBorder="1" applyAlignment="1">
      <alignment horizontal="center" vertical="center" wrapText="1"/>
    </xf>
    <xf numFmtId="0" fontId="28" fillId="24" borderId="0" xfId="565" applyFont="1" applyFill="1" applyAlignment="1">
      <alignment horizontal="center" vertical="center"/>
      <protection/>
    </xf>
    <xf numFmtId="0" fontId="41" fillId="24" borderId="0" xfId="565" applyFont="1" applyFill="1" applyAlignment="1">
      <alignment horizontal="center" vertical="center"/>
      <protection/>
    </xf>
    <xf numFmtId="0" fontId="28" fillId="24" borderId="12" xfId="565" applyFont="1" applyFill="1" applyBorder="1" applyAlignment="1">
      <alignment horizontal="center" vertical="center"/>
      <protection/>
    </xf>
    <xf numFmtId="0" fontId="29" fillId="24" borderId="12" xfId="565" applyNumberFormat="1" applyFont="1" applyFill="1" applyBorder="1" applyAlignment="1">
      <alignment horizontal="center" vertical="center"/>
      <protection/>
    </xf>
    <xf numFmtId="0" fontId="28" fillId="24" borderId="12" xfId="565" applyNumberFormat="1" applyFont="1" applyFill="1" applyBorder="1" applyAlignment="1">
      <alignment horizontal="center" vertical="center"/>
      <protection/>
    </xf>
    <xf numFmtId="0" fontId="28" fillId="0" borderId="12" xfId="565" applyNumberFormat="1" applyFont="1" applyFill="1" applyBorder="1" applyAlignment="1">
      <alignment horizontal="center" vertical="center"/>
      <protection/>
    </xf>
    <xf numFmtId="0" fontId="28" fillId="24" borderId="12" xfId="401" applyNumberFormat="1" applyFont="1" applyFill="1" applyBorder="1" applyAlignment="1">
      <alignment horizontal="center" vertical="center"/>
    </xf>
    <xf numFmtId="0" fontId="41" fillId="25" borderId="10" xfId="565" applyFont="1" applyFill="1" applyBorder="1" applyAlignment="1">
      <alignment horizontal="center" vertical="center" wrapText="1"/>
      <protection/>
    </xf>
    <xf numFmtId="49" fontId="37" fillId="25" borderId="10" xfId="565" applyNumberFormat="1" applyFont="1" applyFill="1" applyBorder="1" applyAlignment="1">
      <alignment horizontal="center" vertical="center" wrapText="1"/>
      <protection/>
    </xf>
    <xf numFmtId="0" fontId="41" fillId="25" borderId="10" xfId="565" applyFont="1" applyFill="1" applyBorder="1" applyAlignment="1">
      <alignment vertical="center" wrapText="1"/>
      <protection/>
    </xf>
    <xf numFmtId="0" fontId="28" fillId="25" borderId="10" xfId="565" applyFont="1" applyFill="1" applyBorder="1" applyAlignment="1">
      <alignment horizontal="center" vertical="center" wrapText="1"/>
      <protection/>
    </xf>
    <xf numFmtId="2" fontId="37" fillId="24" borderId="10" xfId="565" applyNumberFormat="1" applyFont="1" applyFill="1" applyBorder="1" applyAlignment="1">
      <alignment vertical="center" wrapText="1"/>
      <protection/>
    </xf>
    <xf numFmtId="2" fontId="29" fillId="24" borderId="10" xfId="608" applyNumberFormat="1" applyFont="1" applyFill="1" applyBorder="1" applyAlignment="1">
      <alignment horizontal="center" vertical="center" wrapText="1"/>
      <protection/>
    </xf>
    <xf numFmtId="2" fontId="29" fillId="24" borderId="10" xfId="568" applyNumberFormat="1" applyFont="1" applyFill="1" applyBorder="1" applyAlignment="1">
      <alignment horizontal="center" vertical="center" wrapText="1"/>
      <protection/>
    </xf>
    <xf numFmtId="0" fontId="42" fillId="25" borderId="0" xfId="565" applyFont="1" applyFill="1" applyBorder="1" applyAlignment="1">
      <alignment vertical="center" wrapText="1"/>
      <protection/>
    </xf>
    <xf numFmtId="0" fontId="29" fillId="25" borderId="0" xfId="565" applyFont="1" applyFill="1" applyAlignment="1">
      <alignment vertical="center" wrapText="1"/>
      <protection/>
    </xf>
    <xf numFmtId="0" fontId="43" fillId="0" borderId="0" xfId="706" applyFont="1" applyAlignment="1">
      <alignment vertical="center" wrapText="1"/>
      <protection/>
    </xf>
    <xf numFmtId="0" fontId="29" fillId="24" borderId="0" xfId="610" applyFont="1" applyFill="1" applyAlignment="1">
      <alignment horizontal="center" vertical="center" wrapText="1"/>
      <protection/>
    </xf>
    <xf numFmtId="0" fontId="29" fillId="24" borderId="0" xfId="706" applyFont="1" applyFill="1" applyAlignment="1">
      <alignment vertical="center"/>
      <protection/>
    </xf>
    <xf numFmtId="0" fontId="37" fillId="24" borderId="0" xfId="610" applyFont="1" applyFill="1" applyAlignment="1">
      <alignment horizontal="center" vertical="center" wrapText="1"/>
      <protection/>
    </xf>
    <xf numFmtId="0" fontId="29" fillId="24" borderId="14" xfId="610" applyFont="1" applyFill="1" applyBorder="1" applyAlignment="1">
      <alignment horizontal="center" vertical="center" wrapText="1"/>
      <protection/>
    </xf>
    <xf numFmtId="49" fontId="37" fillId="24" borderId="11" xfId="610" applyNumberFormat="1" applyFont="1" applyFill="1" applyBorder="1" applyAlignment="1">
      <alignment horizontal="center" vertical="center" wrapText="1"/>
      <protection/>
    </xf>
    <xf numFmtId="0" fontId="37" fillId="24" borderId="11" xfId="610" applyFont="1" applyFill="1" applyBorder="1" applyAlignment="1">
      <alignment horizontal="center" vertical="center" wrapText="1"/>
      <protection/>
    </xf>
    <xf numFmtId="4" fontId="37" fillId="24" borderId="11" xfId="610" applyNumberFormat="1" applyFont="1" applyFill="1" applyBorder="1" applyAlignment="1">
      <alignment horizontal="center" vertical="center" wrapText="1"/>
      <protection/>
    </xf>
    <xf numFmtId="4" fontId="37" fillId="24" borderId="0" xfId="610" applyNumberFormat="1" applyFont="1" applyFill="1" applyAlignment="1">
      <alignment horizontal="center" vertical="center" wrapText="1"/>
      <protection/>
    </xf>
    <xf numFmtId="0" fontId="41" fillId="24" borderId="15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 wrapText="1"/>
    </xf>
    <xf numFmtId="0" fontId="41" fillId="24" borderId="16" xfId="0" applyFont="1" applyFill="1" applyBorder="1" applyAlignment="1">
      <alignment horizontal="center" vertical="center" wrapText="1"/>
    </xf>
    <xf numFmtId="4" fontId="37" fillId="24" borderId="16" xfId="0" applyNumberFormat="1" applyFont="1" applyFill="1" applyBorder="1" applyAlignment="1">
      <alignment horizontal="center" vertical="center" wrapText="1"/>
    </xf>
    <xf numFmtId="4" fontId="37" fillId="24" borderId="0" xfId="0" applyNumberFormat="1" applyFont="1" applyFill="1" applyBorder="1" applyAlignment="1">
      <alignment horizontal="center" vertical="center" wrapText="1"/>
    </xf>
    <xf numFmtId="0" fontId="37" fillId="24" borderId="0" xfId="0" applyFont="1" applyFill="1" applyAlignment="1">
      <alignment horizontal="center" vertical="center" wrapText="1"/>
    </xf>
    <xf numFmtId="0" fontId="41" fillId="24" borderId="17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4" fontId="29" fillId="24" borderId="11" xfId="0" applyNumberFormat="1" applyFont="1" applyFill="1" applyBorder="1" applyAlignment="1">
      <alignment horizontal="center" vertical="center" wrapText="1"/>
    </xf>
    <xf numFmtId="4" fontId="29" fillId="24" borderId="18" xfId="0" applyNumberFormat="1" applyFont="1" applyFill="1" applyBorder="1" applyAlignment="1">
      <alignment horizontal="center" vertical="center" wrapText="1"/>
    </xf>
    <xf numFmtId="4" fontId="29" fillId="24" borderId="0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horizontal="center" vertical="center" wrapText="1"/>
    </xf>
    <xf numFmtId="4" fontId="37" fillId="24" borderId="11" xfId="0" applyNumberFormat="1" applyFont="1" applyFill="1" applyBorder="1" applyAlignment="1">
      <alignment horizontal="center" vertical="center" wrapText="1"/>
    </xf>
    <xf numFmtId="4" fontId="37" fillId="24" borderId="18" xfId="0" applyNumberFormat="1" applyFont="1" applyFill="1" applyBorder="1" applyAlignment="1">
      <alignment horizontal="center" vertical="center" wrapText="1"/>
    </xf>
    <xf numFmtId="9" fontId="28" fillId="24" borderId="11" xfId="0" applyNumberFormat="1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 wrapText="1"/>
    </xf>
    <xf numFmtId="4" fontId="37" fillId="24" borderId="20" xfId="0" applyNumberFormat="1" applyFont="1" applyFill="1" applyBorder="1" applyAlignment="1">
      <alignment horizontal="center" vertical="center" wrapText="1"/>
    </xf>
    <xf numFmtId="4" fontId="37" fillId="24" borderId="21" xfId="0" applyNumberFormat="1" applyFont="1" applyFill="1" applyBorder="1" applyAlignment="1">
      <alignment horizontal="center" vertical="center" wrapText="1"/>
    </xf>
    <xf numFmtId="178" fontId="29" fillId="24" borderId="0" xfId="610" applyNumberFormat="1" applyFont="1" applyFill="1" applyAlignment="1">
      <alignment horizontal="center" vertical="center" wrapText="1"/>
      <protection/>
    </xf>
    <xf numFmtId="2" fontId="29" fillId="24" borderId="0" xfId="610" applyNumberFormat="1" applyFont="1" applyFill="1" applyAlignment="1">
      <alignment horizontal="center" vertical="center" wrapText="1"/>
      <protection/>
    </xf>
    <xf numFmtId="4" fontId="29" fillId="24" borderId="0" xfId="610" applyNumberFormat="1" applyFont="1" applyFill="1" applyAlignment="1">
      <alignment horizontal="center" vertical="center" wrapText="1"/>
      <protection/>
    </xf>
    <xf numFmtId="4" fontId="37" fillId="24" borderId="22" xfId="0" applyNumberFormat="1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vertical="center"/>
    </xf>
    <xf numFmtId="2" fontId="29" fillId="24" borderId="11" xfId="565" applyNumberFormat="1" applyFont="1" applyFill="1" applyBorder="1" applyAlignment="1">
      <alignment horizontal="center" vertical="center" wrapText="1"/>
      <protection/>
    </xf>
    <xf numFmtId="2" fontId="29" fillId="24" borderId="10" xfId="565" applyNumberFormat="1" applyFont="1" applyFill="1" applyBorder="1" applyAlignment="1">
      <alignment horizontal="center" vertical="center" wrapText="1"/>
      <protection/>
    </xf>
    <xf numFmtId="0" fontId="42" fillId="24" borderId="23" xfId="0" applyFont="1" applyFill="1" applyBorder="1" applyAlignment="1">
      <alignment vertical="center" wrapText="1"/>
    </xf>
    <xf numFmtId="0" fontId="29" fillId="24" borderId="0" xfId="0" applyFont="1" applyFill="1" applyAlignment="1">
      <alignment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center" vertical="center" wrapText="1"/>
    </xf>
    <xf numFmtId="179" fontId="29" fillId="24" borderId="0" xfId="0" applyNumberFormat="1" applyFont="1" applyFill="1" applyBorder="1" applyAlignment="1">
      <alignment horizontal="center" vertical="center" wrapText="1"/>
    </xf>
    <xf numFmtId="0" fontId="119" fillId="24" borderId="0" xfId="0" applyFont="1" applyFill="1" applyBorder="1" applyAlignment="1">
      <alignment horizontal="center" vertical="center" wrapText="1"/>
    </xf>
    <xf numFmtId="0" fontId="119" fillId="24" borderId="13" xfId="0" applyFont="1" applyFill="1" applyBorder="1" applyAlignment="1">
      <alignment horizontal="center" vertical="center" wrapText="1"/>
    </xf>
    <xf numFmtId="0" fontId="119" fillId="24" borderId="12" xfId="565" applyFont="1" applyFill="1" applyBorder="1" applyAlignment="1">
      <alignment horizontal="center" vertical="center"/>
      <protection/>
    </xf>
    <xf numFmtId="0" fontId="119" fillId="25" borderId="10" xfId="565" applyFont="1" applyFill="1" applyBorder="1" applyAlignment="1">
      <alignment vertical="center" wrapText="1"/>
      <protection/>
    </xf>
    <xf numFmtId="49" fontId="119" fillId="24" borderId="11" xfId="0" applyNumberFormat="1" applyFont="1" applyFill="1" applyBorder="1" applyAlignment="1">
      <alignment horizontal="center" vertical="center" wrapText="1"/>
    </xf>
    <xf numFmtId="0" fontId="119" fillId="24" borderId="11" xfId="0" applyFont="1" applyFill="1" applyBorder="1" applyAlignment="1">
      <alignment vertical="center" wrapText="1"/>
    </xf>
    <xf numFmtId="0" fontId="28" fillId="0" borderId="11" xfId="565" applyFont="1" applyFill="1" applyBorder="1" applyAlignment="1">
      <alignment horizontal="center" vertical="center" wrapText="1"/>
      <protection/>
    </xf>
    <xf numFmtId="0" fontId="28" fillId="24" borderId="11" xfId="608" applyFont="1" applyFill="1" applyBorder="1" applyAlignment="1">
      <alignment horizontal="center" vertical="center" wrapText="1"/>
      <protection/>
    </xf>
    <xf numFmtId="180" fontId="28" fillId="24" borderId="10" xfId="0" applyNumberFormat="1" applyFont="1" applyFill="1" applyBorder="1" applyAlignment="1">
      <alignment horizontal="center" vertical="center" wrapText="1"/>
    </xf>
    <xf numFmtId="179" fontId="28" fillId="24" borderId="10" xfId="0" applyNumberFormat="1" applyFont="1" applyFill="1" applyBorder="1" applyAlignment="1">
      <alignment horizontal="center" vertical="center" wrapText="1"/>
    </xf>
    <xf numFmtId="2" fontId="28" fillId="24" borderId="11" xfId="0" applyNumberFormat="1" applyFont="1" applyFill="1" applyBorder="1" applyAlignment="1">
      <alignment horizontal="center" vertical="center" wrapText="1"/>
    </xf>
    <xf numFmtId="176" fontId="28" fillId="24" borderId="10" xfId="0" applyNumberFormat="1" applyFont="1" applyFill="1" applyBorder="1" applyAlignment="1">
      <alignment horizontal="center" vertical="center" wrapText="1"/>
    </xf>
    <xf numFmtId="0" fontId="41" fillId="24" borderId="11" xfId="609" applyFont="1" applyFill="1" applyBorder="1" applyAlignment="1">
      <alignment horizontal="center" vertical="center"/>
      <protection/>
    </xf>
    <xf numFmtId="0" fontId="28" fillId="24" borderId="11" xfId="707" applyFont="1" applyFill="1" applyBorder="1" applyAlignment="1">
      <alignment horizontal="center" vertical="center"/>
      <protection/>
    </xf>
    <xf numFmtId="2" fontId="28" fillId="24" borderId="10" xfId="565" applyNumberFormat="1" applyFont="1" applyFill="1" applyBorder="1" applyAlignment="1">
      <alignment horizontal="center" vertical="center" wrapText="1"/>
      <protection/>
    </xf>
    <xf numFmtId="2" fontId="28" fillId="0" borderId="11" xfId="565" applyNumberFormat="1" applyFont="1" applyFill="1" applyBorder="1" applyAlignment="1">
      <alignment horizontal="center" vertical="center" wrapText="1"/>
      <protection/>
    </xf>
    <xf numFmtId="2" fontId="29" fillId="24" borderId="11" xfId="0" applyNumberFormat="1" applyFont="1" applyFill="1" applyBorder="1" applyAlignment="1">
      <alignment horizontal="center" vertical="center" wrapText="1"/>
    </xf>
    <xf numFmtId="176" fontId="28" fillId="24" borderId="11" xfId="0" applyNumberFormat="1" applyFont="1" applyFill="1" applyBorder="1" applyAlignment="1">
      <alignment horizontal="center" vertical="center" wrapText="1"/>
    </xf>
    <xf numFmtId="176" fontId="29" fillId="24" borderId="11" xfId="0" applyNumberFormat="1" applyFont="1" applyFill="1" applyBorder="1" applyAlignment="1">
      <alignment horizontal="center" vertical="center" wrapText="1"/>
    </xf>
    <xf numFmtId="0" fontId="28" fillId="24" borderId="10" xfId="565" applyFont="1" applyFill="1" applyBorder="1" applyAlignment="1">
      <alignment horizontal="center" vertical="center" wrapText="1"/>
      <protection/>
    </xf>
    <xf numFmtId="0" fontId="41" fillId="24" borderId="10" xfId="0" applyFont="1" applyFill="1" applyBorder="1" applyAlignment="1">
      <alignment horizontal="center" vertical="center" wrapText="1"/>
    </xf>
    <xf numFmtId="0" fontId="41" fillId="26" borderId="10" xfId="565" applyFont="1" applyFill="1" applyBorder="1" applyAlignment="1">
      <alignment vertical="center" wrapText="1"/>
      <protection/>
    </xf>
    <xf numFmtId="49" fontId="41" fillId="27" borderId="10" xfId="565" applyNumberFormat="1" applyFont="1" applyFill="1" applyBorder="1" applyAlignment="1">
      <alignment horizontal="center" vertical="center" wrapText="1"/>
      <protection/>
    </xf>
    <xf numFmtId="2" fontId="41" fillId="24" borderId="11" xfId="0" applyNumberFormat="1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4" borderId="20" xfId="568" applyFont="1" applyFill="1" applyBorder="1" applyAlignment="1">
      <alignment horizontal="center" vertical="center" wrapText="1"/>
      <protection/>
    </xf>
    <xf numFmtId="0" fontId="28" fillId="4" borderId="20" xfId="568" applyFont="1" applyFill="1" applyBorder="1" applyAlignment="1">
      <alignment horizontal="center" vertical="center" wrapText="1"/>
      <protection/>
    </xf>
    <xf numFmtId="0" fontId="28" fillId="24" borderId="0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vertical="center" wrapText="1"/>
    </xf>
    <xf numFmtId="0" fontId="28" fillId="24" borderId="0" xfId="0" applyFont="1" applyFill="1" applyAlignment="1">
      <alignment horizontal="center" vertical="center" wrapText="1"/>
    </xf>
    <xf numFmtId="2" fontId="42" fillId="24" borderId="0" xfId="0" applyNumberFormat="1" applyFont="1" applyFill="1" applyBorder="1" applyAlignment="1">
      <alignment horizontal="center" vertical="center" wrapText="1"/>
    </xf>
    <xf numFmtId="0" fontId="119" fillId="24" borderId="11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 wrapText="1"/>
    </xf>
    <xf numFmtId="2" fontId="42" fillId="24" borderId="0" xfId="0" applyNumberFormat="1" applyFont="1" applyFill="1" applyAlignment="1">
      <alignment horizontal="center" vertical="center" wrapText="1"/>
    </xf>
    <xf numFmtId="0" fontId="42" fillId="24" borderId="0" xfId="0" applyFont="1" applyFill="1" applyAlignment="1">
      <alignment horizontal="center" vertical="center" wrapText="1"/>
    </xf>
    <xf numFmtId="0" fontId="119" fillId="24" borderId="10" xfId="565" applyFont="1" applyFill="1" applyBorder="1" applyAlignment="1">
      <alignment horizontal="center" vertical="center" wrapText="1"/>
      <protection/>
    </xf>
    <xf numFmtId="0" fontId="29" fillId="24" borderId="10" xfId="0" applyFont="1" applyFill="1" applyBorder="1" applyAlignment="1">
      <alignment horizontal="center" vertical="center" wrapText="1"/>
    </xf>
    <xf numFmtId="0" fontId="42" fillId="24" borderId="0" xfId="565" applyFont="1" applyFill="1" applyAlignment="1">
      <alignment horizontal="center" vertical="center" wrapText="1"/>
      <protection/>
    </xf>
    <xf numFmtId="0" fontId="29" fillId="24" borderId="0" xfId="565" applyFont="1" applyFill="1" applyAlignment="1">
      <alignment horizontal="center" vertical="center" wrapText="1"/>
      <protection/>
    </xf>
    <xf numFmtId="0" fontId="119" fillId="24" borderId="11" xfId="565" applyFont="1" applyFill="1" applyBorder="1" applyAlignment="1">
      <alignment horizontal="center" vertical="center" wrapText="1"/>
      <protection/>
    </xf>
    <xf numFmtId="49" fontId="119" fillId="24" borderId="11" xfId="565" applyNumberFormat="1" applyFont="1" applyFill="1" applyBorder="1" applyAlignment="1">
      <alignment horizontal="center" vertical="center" wrapText="1"/>
      <protection/>
    </xf>
    <xf numFmtId="49" fontId="29" fillId="0" borderId="11" xfId="565" applyNumberFormat="1" applyFont="1" applyFill="1" applyBorder="1" applyAlignment="1">
      <alignment horizontal="center" vertical="center" wrapText="1"/>
      <protection/>
    </xf>
    <xf numFmtId="2" fontId="29" fillId="0" borderId="11" xfId="565" applyNumberFormat="1" applyFont="1" applyFill="1" applyBorder="1" applyAlignment="1">
      <alignment horizontal="center" vertical="center" wrapText="1"/>
      <protection/>
    </xf>
    <xf numFmtId="0" fontId="29" fillId="0" borderId="0" xfId="565" applyFont="1" applyFill="1" applyAlignment="1">
      <alignment horizontal="center" vertical="center" wrapText="1"/>
      <protection/>
    </xf>
    <xf numFmtId="0" fontId="41" fillId="24" borderId="10" xfId="0" applyFont="1" applyFill="1" applyBorder="1" applyAlignment="1">
      <alignment vertical="center" wrapText="1"/>
    </xf>
    <xf numFmtId="0" fontId="42" fillId="24" borderId="0" xfId="0" applyFont="1" applyFill="1" applyAlignment="1">
      <alignment vertical="center" wrapText="1"/>
    </xf>
    <xf numFmtId="0" fontId="120" fillId="24" borderId="0" xfId="0" applyFont="1" applyFill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119" fillId="25" borderId="10" xfId="565" applyFont="1" applyFill="1" applyBorder="1" applyAlignment="1">
      <alignment horizontal="center" vertical="center" wrapText="1"/>
      <protection/>
    </xf>
    <xf numFmtId="0" fontId="42" fillId="24" borderId="0" xfId="0" applyFont="1" applyFill="1" applyBorder="1" applyAlignment="1">
      <alignment vertical="center" wrapText="1"/>
    </xf>
    <xf numFmtId="0" fontId="37" fillId="24" borderId="0" xfId="0" applyFont="1" applyFill="1" applyAlignment="1">
      <alignment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0" fontId="119" fillId="24" borderId="10" xfId="0" applyFont="1" applyFill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2" fontId="37" fillId="24" borderId="10" xfId="0" applyNumberFormat="1" applyFont="1" applyFill="1" applyBorder="1" applyAlignment="1">
      <alignment horizontal="center" vertical="center" wrapText="1"/>
    </xf>
    <xf numFmtId="2" fontId="37" fillId="24" borderId="11" xfId="0" applyNumberFormat="1" applyFont="1" applyFill="1" applyBorder="1" applyAlignment="1">
      <alignment horizontal="center" vertical="center" wrapText="1"/>
    </xf>
    <xf numFmtId="4" fontId="37" fillId="24" borderId="10" xfId="0" applyNumberFormat="1" applyFont="1" applyFill="1" applyBorder="1" applyAlignment="1">
      <alignment horizontal="center" vertical="center" wrapText="1"/>
    </xf>
    <xf numFmtId="176" fontId="42" fillId="24" borderId="0" xfId="0" applyNumberFormat="1" applyFont="1" applyFill="1" applyBorder="1" applyAlignment="1">
      <alignment vertical="center" wrapText="1"/>
    </xf>
    <xf numFmtId="175" fontId="37" fillId="24" borderId="0" xfId="0" applyNumberFormat="1" applyFont="1" applyFill="1" applyAlignment="1">
      <alignment horizontal="center" vertical="center" wrapText="1"/>
    </xf>
    <xf numFmtId="2" fontId="37" fillId="24" borderId="0" xfId="0" applyNumberFormat="1" applyFont="1" applyFill="1" applyAlignment="1">
      <alignment vertical="center" wrapText="1"/>
    </xf>
    <xf numFmtId="1" fontId="29" fillId="24" borderId="11" xfId="0" applyNumberFormat="1" applyFont="1" applyFill="1" applyBorder="1" applyAlignment="1">
      <alignment horizontal="center" vertical="center" wrapText="1"/>
    </xf>
    <xf numFmtId="0" fontId="37" fillId="24" borderId="11" xfId="609" applyFont="1" applyFill="1" applyBorder="1" applyAlignment="1">
      <alignment horizontal="center" vertical="center" wrapText="1"/>
      <protection/>
    </xf>
    <xf numFmtId="0" fontId="29" fillId="24" borderId="11" xfId="0" applyFont="1" applyFill="1" applyBorder="1" applyAlignment="1">
      <alignment horizontal="center" vertical="center"/>
    </xf>
    <xf numFmtId="49" fontId="37" fillId="27" borderId="10" xfId="565" applyNumberFormat="1" applyFont="1" applyFill="1" applyBorder="1" applyAlignment="1">
      <alignment horizontal="center" vertical="center" wrapText="1"/>
      <protection/>
    </xf>
    <xf numFmtId="49" fontId="37" fillId="26" borderId="10" xfId="565" applyNumberFormat="1" applyFont="1" applyFill="1" applyBorder="1" applyAlignment="1">
      <alignment horizontal="center" vertical="center" wrapText="1"/>
      <protection/>
    </xf>
    <xf numFmtId="0" fontId="37" fillId="24" borderId="11" xfId="831" applyFont="1" applyFill="1" applyBorder="1" applyAlignment="1">
      <alignment horizontal="center" vertical="center" wrapText="1"/>
      <protection/>
    </xf>
    <xf numFmtId="49" fontId="29" fillId="24" borderId="10" xfId="0" applyNumberFormat="1" applyFont="1" applyFill="1" applyBorder="1" applyAlignment="1">
      <alignment horizontal="center" vertical="center" wrapText="1"/>
    </xf>
    <xf numFmtId="0" fontId="37" fillId="4" borderId="16" xfId="0" applyFont="1" applyFill="1" applyBorder="1" applyAlignment="1">
      <alignment horizontal="center" vertical="center" wrapText="1"/>
    </xf>
    <xf numFmtId="0" fontId="37" fillId="4" borderId="20" xfId="568" applyFont="1" applyFill="1" applyBorder="1" applyAlignment="1">
      <alignment horizontal="center" vertical="center" wrapText="1"/>
      <protection/>
    </xf>
    <xf numFmtId="0" fontId="29" fillId="24" borderId="0" xfId="0" applyFont="1" applyFill="1" applyBorder="1" applyAlignment="1">
      <alignment vertical="center" wrapText="1"/>
    </xf>
    <xf numFmtId="0" fontId="37" fillId="24" borderId="0" xfId="0" applyFont="1" applyFill="1" applyAlignment="1">
      <alignment vertical="center"/>
    </xf>
    <xf numFmtId="0" fontId="37" fillId="24" borderId="10" xfId="0" applyFont="1" applyFill="1" applyBorder="1" applyAlignment="1">
      <alignment horizontal="center" vertical="center" wrapText="1"/>
    </xf>
    <xf numFmtId="2" fontId="37" fillId="4" borderId="16" xfId="0" applyNumberFormat="1" applyFont="1" applyFill="1" applyBorder="1" applyAlignment="1">
      <alignment horizontal="center" vertical="center" wrapText="1"/>
    </xf>
    <xf numFmtId="4" fontId="37" fillId="4" borderId="16" xfId="0" applyNumberFormat="1" applyFont="1" applyFill="1" applyBorder="1" applyAlignment="1">
      <alignment horizontal="center" vertical="center" wrapText="1"/>
    </xf>
    <xf numFmtId="4" fontId="37" fillId="4" borderId="20" xfId="568" applyNumberFormat="1" applyFont="1" applyFill="1" applyBorder="1" applyAlignment="1">
      <alignment horizontal="center" vertical="center" wrapText="1"/>
      <protection/>
    </xf>
    <xf numFmtId="4" fontId="37" fillId="4" borderId="21" xfId="568" applyNumberFormat="1" applyFont="1" applyFill="1" applyBorder="1" applyAlignment="1">
      <alignment horizontal="center" vertical="center" wrapText="1"/>
      <protection/>
    </xf>
    <xf numFmtId="2" fontId="29" fillId="24" borderId="0" xfId="0" applyNumberFormat="1" applyFont="1" applyFill="1" applyBorder="1" applyAlignment="1">
      <alignment vertical="center" wrapText="1"/>
    </xf>
    <xf numFmtId="4" fontId="29" fillId="24" borderId="0" xfId="0" applyNumberFormat="1" applyFont="1" applyFill="1" applyBorder="1" applyAlignment="1">
      <alignment vertical="center" wrapText="1"/>
    </xf>
    <xf numFmtId="2" fontId="29" fillId="24" borderId="0" xfId="0" applyNumberFormat="1" applyFont="1" applyFill="1" applyAlignment="1">
      <alignment horizontal="center" vertical="center" wrapText="1"/>
    </xf>
    <xf numFmtId="2" fontId="29" fillId="24" borderId="0" xfId="0" applyNumberFormat="1" applyFont="1" applyFill="1" applyAlignment="1">
      <alignment vertical="center" wrapText="1"/>
    </xf>
    <xf numFmtId="49" fontId="119" fillId="24" borderId="11" xfId="0" applyNumberFormat="1" applyFont="1" applyFill="1" applyBorder="1" applyAlignment="1">
      <alignment vertical="center" wrapText="1"/>
    </xf>
    <xf numFmtId="0" fontId="28" fillId="24" borderId="11" xfId="609" applyFont="1" applyFill="1" applyBorder="1" applyAlignment="1">
      <alignment horizontal="center" vertical="center" wrapText="1"/>
      <protection/>
    </xf>
    <xf numFmtId="49" fontId="119" fillId="24" borderId="11" xfId="609" applyNumberFormat="1" applyFont="1" applyFill="1" applyBorder="1" applyAlignment="1">
      <alignment horizontal="center" vertical="center" wrapText="1"/>
      <protection/>
    </xf>
    <xf numFmtId="0" fontId="42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2" fontId="29" fillId="24" borderId="11" xfId="707" applyNumberFormat="1" applyFont="1" applyFill="1" applyBorder="1" applyAlignment="1">
      <alignment horizontal="center" vertical="center"/>
      <protection/>
    </xf>
    <xf numFmtId="0" fontId="28" fillId="24" borderId="11" xfId="831" applyFont="1" applyFill="1" applyBorder="1" applyAlignment="1">
      <alignment horizontal="center" vertical="center"/>
      <protection/>
    </xf>
    <xf numFmtId="0" fontId="119" fillId="24" borderId="11" xfId="568" applyFont="1" applyFill="1" applyBorder="1" applyAlignment="1">
      <alignment horizontal="center" vertical="center" wrapText="1"/>
      <protection/>
    </xf>
    <xf numFmtId="0" fontId="119" fillId="24" borderId="11" xfId="0" applyFont="1" applyFill="1" applyBorder="1" applyAlignment="1" quotePrefix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119" fillId="24" borderId="10" xfId="0" applyFont="1" applyFill="1" applyBorder="1" applyAlignment="1">
      <alignment vertical="center" wrapText="1"/>
    </xf>
    <xf numFmtId="176" fontId="29" fillId="24" borderId="10" xfId="0" applyNumberFormat="1" applyFont="1" applyFill="1" applyBorder="1" applyAlignment="1">
      <alignment horizontal="center" vertical="center" wrapText="1"/>
    </xf>
    <xf numFmtId="0" fontId="42" fillId="24" borderId="23" xfId="0" applyFont="1" applyFill="1" applyBorder="1" applyAlignment="1">
      <alignment horizontal="center" vertical="center" wrapText="1"/>
    </xf>
    <xf numFmtId="175" fontId="42" fillId="24" borderId="23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29" fillId="25" borderId="0" xfId="565" applyFont="1" applyFill="1" applyBorder="1" applyAlignment="1">
      <alignment vertical="center" wrapText="1"/>
      <protection/>
    </xf>
    <xf numFmtId="0" fontId="28" fillId="27" borderId="10" xfId="565" applyFont="1" applyFill="1" applyBorder="1" applyAlignment="1">
      <alignment horizontal="center" vertical="center" wrapText="1"/>
      <protection/>
    </xf>
    <xf numFmtId="0" fontId="119" fillId="27" borderId="10" xfId="565" applyFont="1" applyFill="1" applyBorder="1" applyAlignment="1">
      <alignment horizontal="center" vertical="center" wrapText="1"/>
      <protection/>
    </xf>
    <xf numFmtId="2" fontId="29" fillId="24" borderId="0" xfId="565" applyNumberFormat="1" applyFont="1" applyFill="1" applyBorder="1" applyAlignment="1">
      <alignment horizontal="center" vertical="center" wrapText="1"/>
      <protection/>
    </xf>
    <xf numFmtId="0" fontId="29" fillId="24" borderId="0" xfId="0" applyFont="1" applyFill="1" applyAlignment="1">
      <alignment vertical="center"/>
    </xf>
    <xf numFmtId="2" fontId="29" fillId="24" borderId="11" xfId="608" applyNumberFormat="1" applyFont="1" applyFill="1" applyBorder="1" applyAlignment="1">
      <alignment horizontal="center" vertical="center" wrapText="1"/>
      <protection/>
    </xf>
    <xf numFmtId="0" fontId="41" fillId="26" borderId="10" xfId="565" applyFont="1" applyFill="1" applyBorder="1" applyAlignment="1">
      <alignment horizontal="center" vertical="center" wrapText="1"/>
      <protection/>
    </xf>
    <xf numFmtId="0" fontId="119" fillId="26" borderId="10" xfId="565" applyFont="1" applyFill="1" applyBorder="1" applyAlignment="1">
      <alignment horizontal="center" vertical="center" wrapText="1"/>
      <protection/>
    </xf>
    <xf numFmtId="0" fontId="28" fillId="4" borderId="15" xfId="0" applyFont="1" applyFill="1" applyBorder="1" applyAlignment="1">
      <alignment horizontal="center" vertical="center" wrapText="1"/>
    </xf>
    <xf numFmtId="0" fontId="119" fillId="4" borderId="24" xfId="0" applyFont="1" applyFill="1" applyBorder="1" applyAlignment="1">
      <alignment horizontal="center" vertical="center" wrapText="1"/>
    </xf>
    <xf numFmtId="175" fontId="42" fillId="4" borderId="0" xfId="0" applyNumberFormat="1" applyFont="1" applyFill="1" applyBorder="1" applyAlignment="1">
      <alignment horizontal="center" vertical="center" wrapText="1"/>
    </xf>
    <xf numFmtId="175" fontId="41" fillId="4" borderId="0" xfId="0" applyNumberFormat="1" applyFont="1" applyFill="1" applyBorder="1" applyAlignment="1">
      <alignment horizontal="center" vertical="center" wrapText="1"/>
    </xf>
    <xf numFmtId="2" fontId="41" fillId="4" borderId="0" xfId="0" applyNumberFormat="1" applyFont="1" applyFill="1" applyBorder="1" applyAlignment="1">
      <alignment horizontal="center" vertical="center" wrapText="1"/>
    </xf>
    <xf numFmtId="0" fontId="41" fillId="4" borderId="0" xfId="0" applyFont="1" applyFill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9" fontId="29" fillId="24" borderId="11" xfId="0" applyNumberFormat="1" applyFont="1" applyFill="1" applyBorder="1" applyAlignment="1">
      <alignment horizontal="center" vertical="center" wrapText="1"/>
    </xf>
    <xf numFmtId="4" fontId="42" fillId="24" borderId="0" xfId="0" applyNumberFormat="1" applyFont="1" applyFill="1" applyBorder="1" applyAlignment="1">
      <alignment horizontal="center" vertical="center" wrapText="1"/>
    </xf>
    <xf numFmtId="0" fontId="28" fillId="4" borderId="19" xfId="568" applyFont="1" applyFill="1" applyBorder="1" applyAlignment="1">
      <alignment horizontal="center" vertical="center" wrapText="1"/>
      <protection/>
    </xf>
    <xf numFmtId="49" fontId="119" fillId="4" borderId="20" xfId="568" applyNumberFormat="1" applyFont="1" applyFill="1" applyBorder="1" applyAlignment="1">
      <alignment horizontal="center" vertical="center" wrapText="1"/>
      <protection/>
    </xf>
    <xf numFmtId="0" fontId="29" fillId="4" borderId="20" xfId="568" applyFont="1" applyFill="1" applyBorder="1" applyAlignment="1">
      <alignment horizontal="center" vertical="center" wrapText="1"/>
      <protection/>
    </xf>
    <xf numFmtId="0" fontId="42" fillId="4" borderId="0" xfId="568" applyFont="1" applyFill="1" applyBorder="1" applyAlignment="1">
      <alignment horizontal="center" vertical="center" wrapText="1"/>
      <protection/>
    </xf>
    <xf numFmtId="0" fontId="41" fillId="4" borderId="0" xfId="568" applyFont="1" applyFill="1" applyAlignment="1">
      <alignment horizontal="center" vertical="center" wrapText="1"/>
      <protection/>
    </xf>
    <xf numFmtId="4" fontId="42" fillId="24" borderId="0" xfId="0" applyNumberFormat="1" applyFont="1" applyFill="1" applyBorder="1" applyAlignment="1">
      <alignment vertical="center" wrapText="1"/>
    </xf>
    <xf numFmtId="0" fontId="120" fillId="24" borderId="0" xfId="0" applyFont="1" applyFill="1" applyAlignment="1">
      <alignment horizontal="center" vertical="center"/>
    </xf>
    <xf numFmtId="0" fontId="119" fillId="24" borderId="0" xfId="0" applyFont="1" applyFill="1" applyAlignment="1">
      <alignment horizontal="center" vertical="center" wrapText="1"/>
    </xf>
    <xf numFmtId="179" fontId="28" fillId="24" borderId="11" xfId="0" applyNumberFormat="1" applyFont="1" applyFill="1" applyBorder="1" applyAlignment="1">
      <alignment horizontal="center" vertical="center" wrapText="1"/>
    </xf>
    <xf numFmtId="0" fontId="29" fillId="24" borderId="0" xfId="610" applyFont="1" applyFill="1" applyAlignment="1">
      <alignment horizontal="center" vertical="center" wrapText="1"/>
      <protection/>
    </xf>
    <xf numFmtId="0" fontId="29" fillId="24" borderId="12" xfId="0" applyFont="1" applyFill="1" applyBorder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0" fontId="41" fillId="24" borderId="0" xfId="0" applyFont="1" applyFill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2" fontId="37" fillId="28" borderId="11" xfId="0" applyNumberFormat="1" applyFont="1" applyFill="1" applyBorder="1" applyAlignment="1">
      <alignment horizontal="center" vertical="center" wrapText="1"/>
    </xf>
    <xf numFmtId="0" fontId="53" fillId="24" borderId="11" xfId="0" applyFont="1" applyFill="1" applyBorder="1" applyAlignment="1">
      <alignment horizontal="center" vertical="center" wrapText="1"/>
    </xf>
    <xf numFmtId="49" fontId="53" fillId="24" borderId="11" xfId="0" applyNumberFormat="1" applyFont="1" applyFill="1" applyBorder="1" applyAlignment="1">
      <alignment horizontal="center" vertical="center" wrapText="1"/>
    </xf>
    <xf numFmtId="2" fontId="22" fillId="24" borderId="11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2" fontId="22" fillId="24" borderId="11" xfId="565" applyNumberFormat="1" applyFont="1" applyFill="1" applyBorder="1" applyAlignment="1">
      <alignment horizontal="center" vertical="center" wrapText="1"/>
      <protection/>
    </xf>
    <xf numFmtId="2" fontId="22" fillId="24" borderId="10" xfId="565" applyNumberFormat="1" applyFont="1" applyFill="1" applyBorder="1" applyAlignment="1">
      <alignment horizontal="center" vertical="center" wrapText="1"/>
      <protection/>
    </xf>
    <xf numFmtId="2" fontId="23" fillId="24" borderId="0" xfId="0" applyNumberFormat="1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53" fillId="24" borderId="10" xfId="0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53" fillId="24" borderId="10" xfId="565" applyFont="1" applyFill="1" applyBorder="1" applyAlignment="1">
      <alignment horizontal="center" vertical="center" wrapText="1"/>
      <protection/>
    </xf>
    <xf numFmtId="0" fontId="53" fillId="24" borderId="11" xfId="565" applyFont="1" applyFill="1" applyBorder="1" applyAlignment="1">
      <alignment horizontal="center" vertical="center" wrapText="1"/>
      <protection/>
    </xf>
    <xf numFmtId="0" fontId="53" fillId="24" borderId="10" xfId="0" applyFont="1" applyFill="1" applyBorder="1" applyAlignment="1">
      <alignment vertical="center" wrapText="1"/>
    </xf>
    <xf numFmtId="0" fontId="24" fillId="24" borderId="0" xfId="0" applyFont="1" applyFill="1" applyAlignment="1">
      <alignment vertical="center" wrapText="1"/>
    </xf>
    <xf numFmtId="176" fontId="121" fillId="24" borderId="10" xfId="0" applyNumberFormat="1" applyFont="1" applyFill="1" applyBorder="1" applyAlignment="1">
      <alignment horizontal="center" vertical="center" wrapText="1"/>
    </xf>
    <xf numFmtId="176" fontId="121" fillId="24" borderId="10" xfId="565" applyNumberFormat="1" applyFont="1" applyFill="1" applyBorder="1" applyAlignment="1">
      <alignment horizontal="center" vertical="center" wrapText="1"/>
      <protection/>
    </xf>
    <xf numFmtId="2" fontId="23" fillId="24" borderId="11" xfId="0" applyNumberFormat="1" applyFont="1" applyFill="1" applyBorder="1" applyAlignment="1">
      <alignment horizontal="center" vertical="center" wrapText="1"/>
    </xf>
    <xf numFmtId="175" fontId="23" fillId="24" borderId="0" xfId="0" applyNumberFormat="1" applyFont="1" applyFill="1" applyAlignment="1">
      <alignment horizontal="center" vertical="center" wrapText="1"/>
    </xf>
    <xf numFmtId="2" fontId="121" fillId="24" borderId="11" xfId="565" applyNumberFormat="1" applyFont="1" applyFill="1" applyBorder="1" applyAlignment="1">
      <alignment horizontal="center" vertical="center" wrapText="1"/>
      <protection/>
    </xf>
    <xf numFmtId="2" fontId="121" fillId="24" borderId="10" xfId="565" applyNumberFormat="1" applyFont="1" applyFill="1" applyBorder="1" applyAlignment="1">
      <alignment horizontal="center" vertical="center" wrapText="1"/>
      <protection/>
    </xf>
    <xf numFmtId="2" fontId="121" fillId="24" borderId="11" xfId="0" applyNumberFormat="1" applyFont="1" applyFill="1" applyBorder="1" applyAlignment="1">
      <alignment horizontal="center" vertical="center" wrapText="1"/>
    </xf>
    <xf numFmtId="0" fontId="122" fillId="24" borderId="11" xfId="0" applyFont="1" applyFill="1" applyBorder="1" applyAlignment="1">
      <alignment horizontal="center" vertical="center" wrapText="1"/>
    </xf>
    <xf numFmtId="49" fontId="122" fillId="24" borderId="11" xfId="0" applyNumberFormat="1" applyFont="1" applyFill="1" applyBorder="1" applyAlignment="1">
      <alignment horizontal="center" vertical="center" wrapText="1"/>
    </xf>
    <xf numFmtId="43" fontId="23" fillId="24" borderId="0" xfId="0" applyNumberFormat="1" applyFont="1" applyFill="1" applyAlignment="1">
      <alignment horizontal="center" vertical="center" wrapText="1"/>
    </xf>
    <xf numFmtId="2" fontId="22" fillId="24" borderId="11" xfId="608" applyNumberFormat="1" applyFont="1" applyFill="1" applyBorder="1" applyAlignment="1">
      <alignment horizontal="center" vertical="center" wrapText="1"/>
      <protection/>
    </xf>
    <xf numFmtId="0" fontId="24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 wrapText="1"/>
    </xf>
    <xf numFmtId="0" fontId="52" fillId="24" borderId="0" xfId="0" applyFont="1" applyFill="1" applyAlignment="1">
      <alignment horizontal="center" vertical="center" wrapText="1"/>
    </xf>
    <xf numFmtId="0" fontId="53" fillId="24" borderId="0" xfId="0" applyFont="1" applyFill="1" applyAlignment="1">
      <alignment horizontal="center" vertical="center" wrapText="1"/>
    </xf>
    <xf numFmtId="0" fontId="24" fillId="24" borderId="0" xfId="0" applyFont="1" applyFill="1" applyBorder="1" applyAlignment="1">
      <alignment vertical="center"/>
    </xf>
    <xf numFmtId="0" fontId="57" fillId="24" borderId="0" xfId="0" applyFont="1" applyFill="1" applyBorder="1" applyAlignment="1">
      <alignment horizontal="center" vertical="center" wrapText="1"/>
    </xf>
    <xf numFmtId="0" fontId="123" fillId="24" borderId="11" xfId="568" applyFont="1" applyFill="1" applyBorder="1" applyAlignment="1">
      <alignment vertical="center" wrapText="1"/>
      <protection/>
    </xf>
    <xf numFmtId="0" fontId="21" fillId="24" borderId="0" xfId="608" applyFont="1" applyFill="1" applyAlignment="1">
      <alignment horizontal="center" vertical="center"/>
      <protection/>
    </xf>
    <xf numFmtId="0" fontId="52" fillId="24" borderId="0" xfId="608" applyFont="1" applyFill="1" applyAlignment="1">
      <alignment horizontal="center" vertical="center" wrapText="1"/>
      <protection/>
    </xf>
    <xf numFmtId="0" fontId="23" fillId="24" borderId="0" xfId="608" applyFont="1" applyFill="1" applyAlignment="1">
      <alignment horizontal="center" vertical="center" wrapText="1"/>
      <protection/>
    </xf>
    <xf numFmtId="0" fontId="21" fillId="24" borderId="0" xfId="565" applyFont="1" applyFill="1" applyAlignment="1">
      <alignment horizontal="center" vertical="center"/>
      <protection/>
    </xf>
    <xf numFmtId="0" fontId="62" fillId="24" borderId="0" xfId="565" applyFont="1" applyFill="1" applyAlignment="1">
      <alignment horizontal="center" vertical="center"/>
      <protection/>
    </xf>
    <xf numFmtId="0" fontId="0" fillId="24" borderId="12" xfId="565" applyFont="1" applyFill="1" applyBorder="1" applyAlignment="1">
      <alignment horizontal="center" vertical="center"/>
      <protection/>
    </xf>
    <xf numFmtId="0" fontId="24" fillId="24" borderId="12" xfId="565" applyNumberFormat="1" applyFont="1" applyFill="1" applyBorder="1" applyAlignment="1">
      <alignment horizontal="center" vertical="center"/>
      <protection/>
    </xf>
    <xf numFmtId="0" fontId="0" fillId="24" borderId="12" xfId="565" applyNumberFormat="1" applyFont="1" applyFill="1" applyBorder="1" applyAlignment="1">
      <alignment horizontal="center" vertical="center"/>
      <protection/>
    </xf>
    <xf numFmtId="0" fontId="0" fillId="0" borderId="12" xfId="565" applyNumberFormat="1" applyFont="1" applyFill="1" applyBorder="1" applyAlignment="1">
      <alignment horizontal="center" vertical="center"/>
      <protection/>
    </xf>
    <xf numFmtId="0" fontId="0" fillId="24" borderId="12" xfId="401" applyNumberFormat="1" applyFont="1" applyFill="1" applyBorder="1" applyAlignment="1">
      <alignment horizontal="center" vertical="center"/>
    </xf>
    <xf numFmtId="0" fontId="0" fillId="24" borderId="0" xfId="565" applyFont="1" applyFill="1" applyAlignment="1">
      <alignment horizontal="center" vertical="center"/>
      <protection/>
    </xf>
    <xf numFmtId="0" fontId="21" fillId="24" borderId="0" xfId="568" applyFont="1" applyFill="1" applyAlignment="1">
      <alignment horizontal="center" vertical="center"/>
      <protection/>
    </xf>
    <xf numFmtId="0" fontId="53" fillId="24" borderId="0" xfId="568" applyFont="1" applyFill="1" applyBorder="1" applyAlignment="1">
      <alignment horizontal="center" vertical="center" wrapText="1"/>
      <protection/>
    </xf>
    <xf numFmtId="0" fontId="22" fillId="24" borderId="0" xfId="568" applyFont="1" applyFill="1" applyBorder="1" applyAlignment="1">
      <alignment horizontal="center" vertical="center" wrapText="1"/>
      <protection/>
    </xf>
    <xf numFmtId="0" fontId="60" fillId="24" borderId="0" xfId="568" applyFont="1" applyFill="1" applyAlignment="1">
      <alignment horizontal="center" vertical="center"/>
      <protection/>
    </xf>
    <xf numFmtId="0" fontId="53" fillId="24" borderId="13" xfId="568" applyFont="1" applyFill="1" applyBorder="1" applyAlignment="1">
      <alignment horizontal="center" vertical="center" wrapText="1"/>
      <protection/>
    </xf>
    <xf numFmtId="0" fontId="61" fillId="24" borderId="13" xfId="568" applyFont="1" applyFill="1" applyBorder="1" applyAlignment="1">
      <alignment horizontal="center" vertical="center" wrapText="1"/>
      <protection/>
    </xf>
    <xf numFmtId="0" fontId="22" fillId="24" borderId="13" xfId="568" applyFont="1" applyFill="1" applyBorder="1" applyAlignment="1">
      <alignment horizontal="center" vertical="center" wrapText="1"/>
      <protection/>
    </xf>
    <xf numFmtId="2" fontId="22" fillId="24" borderId="13" xfId="568" applyNumberFormat="1" applyFont="1" applyFill="1" applyBorder="1" applyAlignment="1">
      <alignment horizontal="center" vertical="center" wrapText="1"/>
      <protection/>
    </xf>
    <xf numFmtId="2" fontId="28" fillId="24" borderId="12" xfId="568" applyNumberFormat="1" applyFont="1" applyFill="1" applyBorder="1" applyAlignment="1">
      <alignment horizontal="center" vertical="center" wrapText="1"/>
      <protection/>
    </xf>
    <xf numFmtId="0" fontId="29" fillId="24" borderId="12" xfId="568" applyFont="1" applyFill="1" applyBorder="1" applyAlignment="1">
      <alignment horizontal="center" vertical="center" wrapText="1"/>
      <protection/>
    </xf>
    <xf numFmtId="0" fontId="52" fillId="25" borderId="10" xfId="565" applyFont="1" applyFill="1" applyBorder="1" applyAlignment="1">
      <alignment horizontal="center" vertical="center" wrapText="1"/>
      <protection/>
    </xf>
    <xf numFmtId="49" fontId="23" fillId="25" borderId="10" xfId="565" applyNumberFormat="1" applyFont="1" applyFill="1" applyBorder="1" applyAlignment="1">
      <alignment horizontal="center" vertical="center" wrapText="1"/>
      <protection/>
    </xf>
    <xf numFmtId="0" fontId="52" fillId="25" borderId="10" xfId="565" applyFont="1" applyFill="1" applyBorder="1" applyAlignment="1">
      <alignment vertical="center" wrapText="1"/>
      <protection/>
    </xf>
    <xf numFmtId="2" fontId="23" fillId="24" borderId="10" xfId="565" applyNumberFormat="1" applyFont="1" applyFill="1" applyBorder="1" applyAlignment="1">
      <alignment vertical="center" wrapText="1"/>
      <protection/>
    </xf>
    <xf numFmtId="2" fontId="22" fillId="24" borderId="10" xfId="608" applyNumberFormat="1" applyFont="1" applyFill="1" applyBorder="1" applyAlignment="1">
      <alignment horizontal="center" vertical="center" wrapText="1"/>
      <protection/>
    </xf>
    <xf numFmtId="2" fontId="22" fillId="24" borderId="10" xfId="568" applyNumberFormat="1" applyFont="1" applyFill="1" applyBorder="1" applyAlignment="1">
      <alignment horizontal="center" vertical="center" wrapText="1"/>
      <protection/>
    </xf>
    <xf numFmtId="175" fontId="22" fillId="24" borderId="10" xfId="568" applyNumberFormat="1" applyFont="1" applyFill="1" applyBorder="1" applyAlignment="1">
      <alignment horizontal="center" vertical="center" wrapText="1"/>
      <protection/>
    </xf>
    <xf numFmtId="0" fontId="24" fillId="25" borderId="0" xfId="565" applyFont="1" applyFill="1" applyAlignment="1">
      <alignment vertical="center" wrapText="1"/>
      <protection/>
    </xf>
    <xf numFmtId="0" fontId="24" fillId="25" borderId="0" xfId="565" applyFont="1" applyFill="1" applyAlignment="1">
      <alignment vertical="center" wrapText="1"/>
      <protection/>
    </xf>
    <xf numFmtId="0" fontId="53" fillId="24" borderId="11" xfId="568" applyFont="1" applyFill="1" applyBorder="1" applyAlignment="1">
      <alignment horizontal="center" vertical="center" wrapText="1"/>
      <protection/>
    </xf>
    <xf numFmtId="175" fontId="23" fillId="24" borderId="23" xfId="568" applyNumberFormat="1" applyFont="1" applyFill="1" applyBorder="1" applyAlignment="1">
      <alignment horizontal="center" vertical="center" wrapText="1"/>
      <protection/>
    </xf>
    <xf numFmtId="175" fontId="23" fillId="24" borderId="0" xfId="568" applyNumberFormat="1" applyFont="1" applyFill="1" applyBorder="1" applyAlignment="1">
      <alignment horizontal="center" vertical="center" wrapText="1"/>
      <protection/>
    </xf>
    <xf numFmtId="0" fontId="23" fillId="24" borderId="0" xfId="568" applyFont="1" applyFill="1" applyBorder="1" applyAlignment="1">
      <alignment horizontal="center" vertical="center" wrapText="1"/>
      <protection/>
    </xf>
    <xf numFmtId="0" fontId="23" fillId="24" borderId="0" xfId="568" applyFont="1" applyFill="1" applyAlignment="1">
      <alignment horizontal="center" vertical="center" wrapText="1"/>
      <protection/>
    </xf>
    <xf numFmtId="176" fontId="22" fillId="24" borderId="23" xfId="568" applyNumberFormat="1" applyFont="1" applyFill="1" applyBorder="1" applyAlignment="1">
      <alignment horizontal="center" vertical="center" wrapText="1"/>
      <protection/>
    </xf>
    <xf numFmtId="175" fontId="22" fillId="24" borderId="0" xfId="568" applyNumberFormat="1" applyFont="1" applyFill="1" applyBorder="1" applyAlignment="1">
      <alignment horizontal="center" vertical="center" wrapText="1"/>
      <protection/>
    </xf>
    <xf numFmtId="0" fontId="22" fillId="24" borderId="0" xfId="568" applyFont="1" applyFill="1" applyAlignment="1">
      <alignment horizontal="center" vertical="center" wrapText="1"/>
      <protection/>
    </xf>
    <xf numFmtId="0" fontId="119" fillId="24" borderId="11" xfId="568" applyFont="1" applyFill="1" applyBorder="1" applyAlignment="1">
      <alignment horizontal="center" vertical="center" wrapText="1"/>
      <protection/>
    </xf>
    <xf numFmtId="2" fontId="118" fillId="24" borderId="10" xfId="565" applyNumberFormat="1" applyFont="1" applyFill="1" applyBorder="1" applyAlignment="1">
      <alignment horizontal="center" vertical="center" wrapText="1"/>
      <protection/>
    </xf>
    <xf numFmtId="0" fontId="22" fillId="24" borderId="23" xfId="568" applyFont="1" applyFill="1" applyBorder="1" applyAlignment="1">
      <alignment horizontal="center" vertical="center" wrapText="1"/>
      <protection/>
    </xf>
    <xf numFmtId="175" fontId="22" fillId="24" borderId="23" xfId="568" applyNumberFormat="1" applyFont="1" applyFill="1" applyBorder="1" applyAlignment="1">
      <alignment horizontal="center" vertical="center" wrapText="1"/>
      <protection/>
    </xf>
    <xf numFmtId="0" fontId="53" fillId="24" borderId="10" xfId="568" applyFont="1" applyFill="1" applyBorder="1" applyAlignment="1">
      <alignment horizontal="center" vertical="center" wrapText="1"/>
      <protection/>
    </xf>
    <xf numFmtId="2" fontId="22" fillId="24" borderId="0" xfId="568" applyNumberFormat="1" applyFont="1" applyFill="1" applyAlignment="1">
      <alignment horizontal="center" vertical="center" wrapText="1"/>
      <protection/>
    </xf>
    <xf numFmtId="2" fontId="122" fillId="24" borderId="10" xfId="568" applyNumberFormat="1" applyFont="1" applyFill="1" applyBorder="1" applyAlignment="1">
      <alignment horizontal="center" vertical="center"/>
      <protection/>
    </xf>
    <xf numFmtId="49" fontId="122" fillId="24" borderId="10" xfId="568" applyNumberFormat="1" applyFont="1" applyFill="1" applyBorder="1" applyAlignment="1">
      <alignment horizontal="center" vertical="center" wrapText="1"/>
      <protection/>
    </xf>
    <xf numFmtId="0" fontId="122" fillId="24" borderId="10" xfId="568" applyFont="1" applyFill="1" applyBorder="1" applyAlignment="1">
      <alignment horizontal="center" vertical="center"/>
      <protection/>
    </xf>
    <xf numFmtId="0" fontId="28" fillId="24" borderId="11" xfId="568" applyFont="1" applyFill="1" applyBorder="1" applyAlignment="1">
      <alignment horizontal="center" vertical="center" wrapText="1"/>
      <protection/>
    </xf>
    <xf numFmtId="0" fontId="28" fillId="24" borderId="10" xfId="568" applyFont="1" applyFill="1" applyBorder="1" applyAlignment="1">
      <alignment horizontal="center" vertical="center" wrapText="1"/>
      <protection/>
    </xf>
    <xf numFmtId="0" fontId="122" fillId="24" borderId="10" xfId="568" applyFont="1" applyFill="1" applyBorder="1" applyAlignment="1">
      <alignment horizontal="center" vertical="center" wrapText="1"/>
      <protection/>
    </xf>
    <xf numFmtId="0" fontId="124" fillId="24" borderId="0" xfId="568" applyFont="1" applyFill="1" applyBorder="1" applyAlignment="1">
      <alignment horizontal="center" vertical="center" wrapText="1"/>
      <protection/>
    </xf>
    <xf numFmtId="0" fontId="124" fillId="24" borderId="0" xfId="568" applyFont="1" applyFill="1" applyAlignment="1">
      <alignment horizontal="center" vertical="center" wrapText="1"/>
      <protection/>
    </xf>
    <xf numFmtId="0" fontId="118" fillId="24" borderId="0" xfId="568" applyFont="1" applyFill="1" applyAlignment="1">
      <alignment horizontal="center" vertical="center" wrapText="1"/>
      <protection/>
    </xf>
    <xf numFmtId="0" fontId="52" fillId="24" borderId="0" xfId="568" applyFont="1" applyFill="1" applyBorder="1" applyAlignment="1">
      <alignment horizontal="center" vertical="center" wrapText="1"/>
      <protection/>
    </xf>
    <xf numFmtId="177" fontId="23" fillId="24" borderId="0" xfId="568" applyNumberFormat="1" applyFont="1" applyFill="1" applyBorder="1" applyAlignment="1">
      <alignment horizontal="center" vertical="center" wrapText="1"/>
      <protection/>
    </xf>
    <xf numFmtId="4" fontId="23" fillId="24" borderId="0" xfId="568" applyNumberFormat="1" applyFont="1" applyFill="1" applyBorder="1" applyAlignment="1">
      <alignment horizontal="center" vertical="center" wrapText="1"/>
      <protection/>
    </xf>
    <xf numFmtId="4" fontId="23" fillId="24" borderId="0" xfId="568" applyNumberFormat="1" applyFont="1" applyFill="1" applyAlignment="1">
      <alignment horizontal="center" vertical="center" wrapText="1"/>
      <protection/>
    </xf>
    <xf numFmtId="4" fontId="22" fillId="24" borderId="0" xfId="568" applyNumberFormat="1" applyFont="1" applyFill="1" applyAlignment="1">
      <alignment horizontal="center" vertical="center" wrapText="1"/>
      <protection/>
    </xf>
    <xf numFmtId="0" fontId="53" fillId="24" borderId="0" xfId="568" applyFont="1" applyFill="1" applyAlignment="1">
      <alignment horizontal="center" vertical="center" wrapText="1"/>
      <protection/>
    </xf>
    <xf numFmtId="0" fontId="122" fillId="24" borderId="11" xfId="568" applyFont="1" applyFill="1" applyBorder="1" applyAlignment="1">
      <alignment horizontal="center" vertical="center" wrapText="1"/>
      <protection/>
    </xf>
    <xf numFmtId="0" fontId="0" fillId="24" borderId="0" xfId="568" applyFont="1" applyFill="1" applyBorder="1" applyAlignment="1">
      <alignment vertical="center" wrapText="1"/>
      <protection/>
    </xf>
    <xf numFmtId="0" fontId="24" fillId="24" borderId="0" xfId="568" applyFont="1" applyFill="1" applyBorder="1" applyAlignment="1">
      <alignment horizontal="center" vertical="center" wrapText="1"/>
      <protection/>
    </xf>
    <xf numFmtId="2" fontId="24" fillId="24" borderId="0" xfId="568" applyNumberFormat="1" applyFont="1" applyFill="1" applyBorder="1" applyAlignment="1">
      <alignment horizontal="center" vertical="center" wrapText="1"/>
      <protection/>
    </xf>
    <xf numFmtId="0" fontId="24" fillId="24" borderId="0" xfId="568" applyFont="1" applyFill="1" applyAlignment="1">
      <alignment horizontal="center" vertical="center" wrapText="1"/>
      <protection/>
    </xf>
    <xf numFmtId="0" fontId="0" fillId="24" borderId="0" xfId="568" applyFont="1" applyFill="1" applyAlignment="1">
      <alignment vertical="center" wrapText="1"/>
      <protection/>
    </xf>
    <xf numFmtId="0" fontId="0" fillId="24" borderId="0" xfId="568" applyFont="1" applyFill="1" applyAlignment="1">
      <alignment horizontal="center" vertical="center" wrapText="1"/>
      <protection/>
    </xf>
    <xf numFmtId="2" fontId="24" fillId="24" borderId="0" xfId="568" applyNumberFormat="1" applyFont="1" applyFill="1" applyAlignment="1">
      <alignment horizontal="center" vertical="center" wrapText="1"/>
      <protection/>
    </xf>
    <xf numFmtId="0" fontId="53" fillId="24" borderId="0" xfId="568" applyFont="1" applyFill="1" applyAlignment="1">
      <alignment vertical="center" wrapText="1"/>
      <protection/>
    </xf>
    <xf numFmtId="0" fontId="125" fillId="24" borderId="0" xfId="608" applyFont="1" applyFill="1" applyAlignment="1">
      <alignment horizontal="center" vertical="center" wrapText="1"/>
      <protection/>
    </xf>
    <xf numFmtId="0" fontId="122" fillId="24" borderId="0" xfId="568" applyFont="1" applyFill="1" applyBorder="1" applyAlignment="1">
      <alignment horizontal="center" vertical="center" wrapText="1"/>
      <protection/>
    </xf>
    <xf numFmtId="0" fontId="122" fillId="24" borderId="13" xfId="568" applyFont="1" applyFill="1" applyBorder="1" applyAlignment="1">
      <alignment horizontal="center" vertical="center" wrapText="1"/>
      <protection/>
    </xf>
    <xf numFmtId="0" fontId="126" fillId="24" borderId="12" xfId="565" applyNumberFormat="1" applyFont="1" applyFill="1" applyBorder="1" applyAlignment="1">
      <alignment horizontal="center" vertical="center"/>
      <protection/>
    </xf>
    <xf numFmtId="0" fontId="122" fillId="25" borderId="10" xfId="565" applyFont="1" applyFill="1" applyBorder="1" applyAlignment="1">
      <alignment horizontal="center" vertical="center" wrapText="1"/>
      <protection/>
    </xf>
    <xf numFmtId="0" fontId="125" fillId="24" borderId="11" xfId="568" applyFont="1" applyFill="1" applyBorder="1" applyAlignment="1">
      <alignment horizontal="center" vertical="center"/>
      <protection/>
    </xf>
    <xf numFmtId="175" fontId="122" fillId="24" borderId="11" xfId="568" applyNumberFormat="1" applyFont="1" applyFill="1" applyBorder="1" applyAlignment="1" applyProtection="1">
      <alignment horizontal="center" vertical="center" wrapText="1"/>
      <protection/>
    </xf>
    <xf numFmtId="0" fontId="122" fillId="24" borderId="10" xfId="568" applyFont="1" applyFill="1" applyBorder="1" applyAlignment="1" applyProtection="1">
      <alignment horizontal="center" vertical="center" wrapText="1"/>
      <protection/>
    </xf>
    <xf numFmtId="2" fontId="122" fillId="24" borderId="11" xfId="568" applyNumberFormat="1" applyFont="1" applyFill="1" applyBorder="1" applyAlignment="1" applyProtection="1">
      <alignment horizontal="center" vertical="center" wrapText="1"/>
      <protection/>
    </xf>
    <xf numFmtId="0" fontId="125" fillId="24" borderId="0" xfId="568" applyFont="1" applyFill="1" applyBorder="1" applyAlignment="1">
      <alignment horizontal="center" vertical="center" wrapText="1"/>
      <protection/>
    </xf>
    <xf numFmtId="0" fontId="122" fillId="24" borderId="0" xfId="568" applyFont="1" applyFill="1" applyAlignment="1">
      <alignment horizontal="center" vertical="center" wrapText="1"/>
      <protection/>
    </xf>
    <xf numFmtId="0" fontId="122" fillId="24" borderId="0" xfId="608" applyFont="1" applyFill="1" applyAlignment="1">
      <alignment horizontal="center" vertical="center" wrapText="1"/>
      <protection/>
    </xf>
    <xf numFmtId="0" fontId="126" fillId="24" borderId="12" xfId="565" applyFont="1" applyFill="1" applyBorder="1" applyAlignment="1">
      <alignment horizontal="center" vertical="center"/>
      <protection/>
    </xf>
    <xf numFmtId="0" fontId="122" fillId="25" borderId="10" xfId="565" applyFont="1" applyFill="1" applyBorder="1" applyAlignment="1">
      <alignment vertical="center" wrapText="1"/>
      <protection/>
    </xf>
    <xf numFmtId="49" fontId="122" fillId="24" borderId="11" xfId="568" applyNumberFormat="1" applyFont="1" applyFill="1" applyBorder="1" applyAlignment="1">
      <alignment horizontal="center" vertical="center" wrapText="1"/>
      <protection/>
    </xf>
    <xf numFmtId="0" fontId="119" fillId="24" borderId="10" xfId="568" applyFont="1" applyFill="1" applyBorder="1" applyAlignment="1">
      <alignment horizontal="center" vertical="center" wrapText="1"/>
      <protection/>
    </xf>
    <xf numFmtId="0" fontId="122" fillId="24" borderId="11" xfId="568" applyFont="1" applyFill="1" applyBorder="1" applyAlignment="1">
      <alignment horizontal="center" vertical="center"/>
      <protection/>
    </xf>
    <xf numFmtId="0" fontId="126" fillId="24" borderId="0" xfId="568" applyFont="1" applyFill="1" applyBorder="1" applyAlignment="1">
      <alignment horizontal="center" vertical="center" wrapText="1"/>
      <protection/>
    </xf>
    <xf numFmtId="0" fontId="126" fillId="24" borderId="0" xfId="568" applyFont="1" applyFill="1" applyAlignment="1">
      <alignment horizontal="center" vertical="center" wrapText="1"/>
      <protection/>
    </xf>
    <xf numFmtId="0" fontId="117" fillId="24" borderId="11" xfId="568" applyFont="1" applyFill="1" applyBorder="1" applyAlignment="1">
      <alignment horizontal="center" vertical="center"/>
      <protection/>
    </xf>
    <xf numFmtId="0" fontId="117" fillId="24" borderId="11" xfId="568" applyFont="1" applyFill="1" applyBorder="1" applyAlignment="1">
      <alignment horizontal="center" vertical="center"/>
      <protection/>
    </xf>
    <xf numFmtId="0" fontId="52" fillId="24" borderId="10" xfId="568" applyFont="1" applyFill="1" applyBorder="1" applyAlignment="1">
      <alignment horizontal="center" vertical="center" wrapText="1"/>
      <protection/>
    </xf>
    <xf numFmtId="0" fontId="120" fillId="24" borderId="10" xfId="568" applyFont="1" applyFill="1" applyBorder="1" applyAlignment="1">
      <alignment horizontal="center" vertical="center" wrapText="1"/>
      <protection/>
    </xf>
    <xf numFmtId="0" fontId="127" fillId="24" borderId="11" xfId="568" applyFont="1" applyFill="1" applyBorder="1" applyAlignment="1">
      <alignment horizontal="center" vertical="center"/>
      <protection/>
    </xf>
    <xf numFmtId="0" fontId="128" fillId="24" borderId="11" xfId="568" applyFont="1" applyFill="1" applyBorder="1" applyAlignment="1">
      <alignment horizontal="center" vertical="center"/>
      <protection/>
    </xf>
    <xf numFmtId="0" fontId="125" fillId="24" borderId="10" xfId="568" applyFont="1" applyFill="1" applyBorder="1" applyAlignment="1" applyProtection="1">
      <alignment horizontal="center" vertical="center" wrapText="1"/>
      <protection/>
    </xf>
    <xf numFmtId="0" fontId="127" fillId="24" borderId="11" xfId="568" applyFont="1" applyFill="1" applyBorder="1" applyAlignment="1">
      <alignment horizontal="center" vertical="center"/>
      <protection/>
    </xf>
    <xf numFmtId="0" fontId="129" fillId="24" borderId="11" xfId="568" applyFont="1" applyFill="1" applyBorder="1" applyAlignment="1">
      <alignment horizontal="center" vertical="center"/>
      <protection/>
    </xf>
    <xf numFmtId="0" fontId="129" fillId="24" borderId="11" xfId="568" applyFont="1" applyFill="1" applyBorder="1" applyAlignment="1">
      <alignment horizontal="center" vertical="center" wrapText="1"/>
      <protection/>
    </xf>
    <xf numFmtId="0" fontId="130" fillId="24" borderId="11" xfId="568" applyFont="1" applyFill="1" applyBorder="1" applyAlignment="1">
      <alignment horizontal="center" vertical="center"/>
      <protection/>
    </xf>
    <xf numFmtId="0" fontId="131" fillId="24" borderId="11" xfId="568" applyFont="1" applyFill="1" applyBorder="1" applyAlignment="1">
      <alignment horizontal="center" vertical="center"/>
      <protection/>
    </xf>
    <xf numFmtId="0" fontId="131" fillId="24" borderId="11" xfId="568" applyFont="1" applyFill="1" applyBorder="1" applyAlignment="1">
      <alignment horizontal="center" vertical="center"/>
      <protection/>
    </xf>
    <xf numFmtId="0" fontId="132" fillId="24" borderId="11" xfId="568" applyFont="1" applyFill="1" applyBorder="1" applyAlignment="1">
      <alignment horizontal="center" vertical="center"/>
      <protection/>
    </xf>
    <xf numFmtId="0" fontId="129" fillId="24" borderId="11" xfId="568" applyFont="1" applyFill="1" applyBorder="1" applyAlignment="1">
      <alignment horizontal="center" vertical="top"/>
      <protection/>
    </xf>
    <xf numFmtId="0" fontId="123" fillId="24" borderId="11" xfId="568" applyFont="1" applyFill="1" applyBorder="1" applyAlignment="1">
      <alignment horizontal="center" vertical="center" wrapText="1"/>
      <protection/>
    </xf>
    <xf numFmtId="0" fontId="24" fillId="24" borderId="11" xfId="568" applyFont="1" applyFill="1" applyBorder="1" applyAlignment="1">
      <alignment horizontal="center" vertical="center" wrapText="1"/>
      <protection/>
    </xf>
    <xf numFmtId="0" fontId="123" fillId="24" borderId="11" xfId="568" applyFont="1" applyFill="1" applyBorder="1" applyAlignment="1">
      <alignment horizontal="center" vertical="center" wrapText="1"/>
      <protection/>
    </xf>
    <xf numFmtId="175" fontId="123" fillId="24" borderId="11" xfId="568" applyNumberFormat="1" applyFont="1" applyFill="1" applyBorder="1" applyAlignment="1">
      <alignment horizontal="center" vertical="center" wrapText="1"/>
      <protection/>
    </xf>
    <xf numFmtId="0" fontId="65" fillId="0" borderId="0" xfId="568" applyFont="1" applyAlignment="1">
      <alignment horizontal="center" vertical="center" wrapText="1"/>
      <protection/>
    </xf>
    <xf numFmtId="0" fontId="66" fillId="0" borderId="0" xfId="568" applyFont="1" applyAlignment="1">
      <alignment horizontal="center" vertical="center" wrapText="1"/>
      <protection/>
    </xf>
    <xf numFmtId="0" fontId="67" fillId="0" borderId="0" xfId="568" applyFont="1" applyAlignment="1">
      <alignment vertical="center" wrapText="1"/>
      <protection/>
    </xf>
    <xf numFmtId="0" fontId="67" fillId="0" borderId="0" xfId="568" applyFont="1" applyAlignment="1">
      <alignment horizontal="center" vertical="center" wrapText="1"/>
      <protection/>
    </xf>
    <xf numFmtId="0" fontId="68" fillId="0" borderId="0" xfId="568" applyFont="1" applyAlignment="1">
      <alignment horizontal="center" vertical="center" wrapText="1"/>
      <protection/>
    </xf>
    <xf numFmtId="175" fontId="68" fillId="0" borderId="0" xfId="568" applyNumberFormat="1" applyFont="1" applyAlignment="1">
      <alignment horizontal="center" vertical="center" wrapText="1"/>
      <protection/>
    </xf>
    <xf numFmtId="175" fontId="68" fillId="0" borderId="0" xfId="568" applyNumberFormat="1" applyFont="1" applyAlignment="1">
      <alignment horizontal="right" vertical="center" wrapText="1"/>
      <protection/>
    </xf>
    <xf numFmtId="0" fontId="65" fillId="0" borderId="0" xfId="568" applyFont="1" applyAlignment="1">
      <alignment vertical="center" wrapText="1"/>
      <protection/>
    </xf>
    <xf numFmtId="0" fontId="70" fillId="0" borderId="0" xfId="568" applyFont="1" applyAlignment="1">
      <alignment horizontal="center" vertical="center" wrapText="1"/>
      <protection/>
    </xf>
    <xf numFmtId="0" fontId="73" fillId="0" borderId="0" xfId="568" applyFont="1" applyAlignment="1">
      <alignment horizontal="center" vertical="center" wrapText="1"/>
      <protection/>
    </xf>
    <xf numFmtId="0" fontId="0" fillId="0" borderId="11" xfId="568" applyBorder="1" applyAlignment="1">
      <alignment horizontal="center" vertical="center" wrapText="1"/>
      <protection/>
    </xf>
    <xf numFmtId="0" fontId="66" fillId="0" borderId="11" xfId="568" applyFont="1" applyBorder="1" applyAlignment="1">
      <alignment horizontal="center" vertical="center" wrapText="1"/>
      <protection/>
    </xf>
    <xf numFmtId="0" fontId="67" fillId="0" borderId="11" xfId="568" applyFont="1" applyBorder="1" applyAlignment="1">
      <alignment vertical="center" wrapText="1"/>
      <protection/>
    </xf>
    <xf numFmtId="0" fontId="67" fillId="0" borderId="11" xfId="568" applyFont="1" applyBorder="1" applyAlignment="1">
      <alignment horizontal="center" vertical="center" wrapText="1"/>
      <protection/>
    </xf>
    <xf numFmtId="0" fontId="68" fillId="0" borderId="11" xfId="568" applyFont="1" applyBorder="1" applyAlignment="1">
      <alignment horizontal="center" vertical="center" wrapText="1"/>
      <protection/>
    </xf>
    <xf numFmtId="175" fontId="68" fillId="0" borderId="11" xfId="568" applyNumberFormat="1" applyFont="1" applyBorder="1" applyAlignment="1">
      <alignment horizontal="center" vertical="center" wrapText="1"/>
      <protection/>
    </xf>
    <xf numFmtId="175" fontId="68" fillId="0" borderId="11" xfId="568" applyNumberFormat="1" applyFont="1" applyBorder="1" applyAlignment="1">
      <alignment horizontal="right" vertical="center" wrapText="1"/>
      <protection/>
    </xf>
    <xf numFmtId="0" fontId="0" fillId="0" borderId="0" xfId="568" applyAlignment="1">
      <alignment vertical="center" wrapText="1"/>
      <protection/>
    </xf>
    <xf numFmtId="0" fontId="74" fillId="0" borderId="11" xfId="568" applyFont="1" applyBorder="1" applyAlignment="1">
      <alignment vertical="center" wrapText="1"/>
      <protection/>
    </xf>
    <xf numFmtId="9" fontId="68" fillId="0" borderId="11" xfId="568" applyNumberFormat="1" applyFont="1" applyBorder="1" applyAlignment="1">
      <alignment horizontal="center" vertical="center" wrapText="1"/>
      <protection/>
    </xf>
    <xf numFmtId="0" fontId="0" fillId="0" borderId="0" xfId="568" applyAlignment="1">
      <alignment horizontal="center" vertical="center" wrapText="1"/>
      <protection/>
    </xf>
    <xf numFmtId="0" fontId="71" fillId="0" borderId="0" xfId="568" applyFont="1" applyAlignment="1">
      <alignment horizontal="center" vertical="center" wrapText="1"/>
      <protection/>
    </xf>
    <xf numFmtId="175" fontId="75" fillId="0" borderId="0" xfId="568" applyNumberFormat="1" applyFont="1" applyAlignment="1">
      <alignment horizontal="right" vertical="center" wrapText="1"/>
      <protection/>
    </xf>
    <xf numFmtId="0" fontId="66" fillId="0" borderId="11" xfId="568" applyFont="1" applyFill="1" applyBorder="1" applyAlignment="1">
      <alignment horizontal="center" vertical="center" wrapText="1"/>
      <protection/>
    </xf>
    <xf numFmtId="0" fontId="67" fillId="0" borderId="11" xfId="568" applyFont="1" applyFill="1" applyBorder="1" applyAlignment="1">
      <alignment vertical="center" wrapText="1"/>
      <protection/>
    </xf>
    <xf numFmtId="0" fontId="67" fillId="0" borderId="11" xfId="568" applyFont="1" applyFill="1" applyBorder="1" applyAlignment="1">
      <alignment horizontal="center" vertical="center" wrapText="1"/>
      <protection/>
    </xf>
    <xf numFmtId="0" fontId="68" fillId="0" borderId="11" xfId="568" applyFont="1" applyFill="1" applyBorder="1" applyAlignment="1">
      <alignment horizontal="center" vertical="center" wrapText="1"/>
      <protection/>
    </xf>
    <xf numFmtId="175" fontId="68" fillId="0" borderId="11" xfId="568" applyNumberFormat="1" applyFont="1" applyFill="1" applyBorder="1" applyAlignment="1">
      <alignment horizontal="center" vertical="center" wrapText="1"/>
      <protection/>
    </xf>
    <xf numFmtId="175" fontId="68" fillId="0" borderId="11" xfId="568" applyNumberFormat="1" applyFont="1" applyFill="1" applyBorder="1" applyAlignment="1">
      <alignment horizontal="right" vertical="center" wrapText="1"/>
      <protection/>
    </xf>
    <xf numFmtId="0" fontId="76" fillId="0" borderId="11" xfId="568" applyFont="1" applyFill="1" applyBorder="1" applyAlignment="1">
      <alignment horizontal="center" vertical="center" wrapText="1"/>
      <protection/>
    </xf>
    <xf numFmtId="0" fontId="74" fillId="0" borderId="11" xfId="568" applyFont="1" applyFill="1" applyBorder="1" applyAlignment="1">
      <alignment vertical="center" wrapText="1"/>
      <protection/>
    </xf>
    <xf numFmtId="9" fontId="68" fillId="0" borderId="11" xfId="744" applyFont="1" applyFill="1" applyBorder="1" applyAlignment="1">
      <alignment horizontal="center" vertical="center" wrapText="1"/>
    </xf>
    <xf numFmtId="0" fontId="66" fillId="0" borderId="0" xfId="568" applyFont="1" applyFill="1" applyAlignment="1">
      <alignment horizontal="center" vertical="center" wrapText="1"/>
      <protection/>
    </xf>
    <xf numFmtId="0" fontId="71" fillId="0" borderId="0" xfId="568" applyFont="1" applyFill="1" applyAlignment="1">
      <alignment horizontal="center" vertical="center" wrapText="1"/>
      <protection/>
    </xf>
    <xf numFmtId="0" fontId="67" fillId="0" borderId="0" xfId="568" applyFont="1" applyFill="1" applyAlignment="1">
      <alignment horizontal="center" vertical="center" wrapText="1"/>
      <protection/>
    </xf>
    <xf numFmtId="0" fontId="68" fillId="0" borderId="0" xfId="568" applyFont="1" applyFill="1" applyAlignment="1">
      <alignment horizontal="center" vertical="center" wrapText="1"/>
      <protection/>
    </xf>
    <xf numFmtId="175" fontId="68" fillId="0" borderId="0" xfId="568" applyNumberFormat="1" applyFont="1" applyFill="1" applyAlignment="1">
      <alignment horizontal="center" vertical="center" wrapText="1"/>
      <protection/>
    </xf>
    <xf numFmtId="175" fontId="75" fillId="0" borderId="0" xfId="568" applyNumberFormat="1" applyFont="1" applyFill="1" applyAlignment="1">
      <alignment horizontal="right" vertical="center" wrapText="1"/>
      <protection/>
    </xf>
    <xf numFmtId="0" fontId="73" fillId="0" borderId="0" xfId="568" applyFont="1" applyFill="1" applyAlignment="1">
      <alignment horizontal="center" vertical="center" wrapText="1"/>
      <protection/>
    </xf>
    <xf numFmtId="175" fontId="68" fillId="0" borderId="0" xfId="568" applyNumberFormat="1" applyFont="1" applyFill="1" applyAlignment="1">
      <alignment horizontal="right" vertical="center" wrapText="1"/>
      <protection/>
    </xf>
    <xf numFmtId="0" fontId="67" fillId="0" borderId="11" xfId="568" applyFont="1" applyBorder="1" applyAlignment="1">
      <alignment vertical="center" wrapText="1"/>
      <protection/>
    </xf>
    <xf numFmtId="0" fontId="74" fillId="0" borderId="0" xfId="568" applyFont="1" applyAlignment="1">
      <alignment horizontal="center" vertical="center" wrapText="1"/>
      <protection/>
    </xf>
    <xf numFmtId="9" fontId="75" fillId="0" borderId="0" xfId="568" applyNumberFormat="1" applyFont="1" applyAlignment="1">
      <alignment horizontal="center" vertical="center" wrapText="1"/>
      <protection/>
    </xf>
    <xf numFmtId="0" fontId="78" fillId="0" borderId="0" xfId="568" applyFont="1" applyAlignment="1">
      <alignment vertical="center" wrapText="1"/>
      <protection/>
    </xf>
    <xf numFmtId="0" fontId="55" fillId="0" borderId="0" xfId="568" applyFont="1" applyAlignment="1">
      <alignment horizontal="center" vertical="center" wrapText="1"/>
      <protection/>
    </xf>
    <xf numFmtId="0" fontId="59" fillId="0" borderId="0" xfId="568" applyFont="1" applyAlignment="1">
      <alignment vertical="center" wrapText="1"/>
      <protection/>
    </xf>
    <xf numFmtId="0" fontId="53" fillId="0" borderId="0" xfId="568" applyFont="1" applyAlignment="1">
      <alignment horizontal="center" vertical="center" wrapText="1"/>
      <protection/>
    </xf>
    <xf numFmtId="0" fontId="133" fillId="0" borderId="0" xfId="519" applyFont="1" applyAlignment="1" applyProtection="1">
      <alignment horizontal="center" vertical="center" wrapText="1"/>
      <protection/>
    </xf>
    <xf numFmtId="175" fontId="75" fillId="0" borderId="0" xfId="568" applyNumberFormat="1" applyFont="1" applyAlignment="1">
      <alignment horizontal="center" vertical="center" wrapText="1"/>
      <protection/>
    </xf>
    <xf numFmtId="175" fontId="77" fillId="0" borderId="0" xfId="568" applyNumberFormat="1" applyFont="1" applyAlignment="1">
      <alignment horizontal="center" vertical="center" wrapText="1"/>
      <protection/>
    </xf>
    <xf numFmtId="178" fontId="37" fillId="4" borderId="16" xfId="0" applyNumberFormat="1" applyFont="1" applyFill="1" applyBorder="1" applyAlignment="1">
      <alignment horizontal="center" vertical="center" wrapText="1"/>
    </xf>
    <xf numFmtId="172" fontId="24" fillId="24" borderId="0" xfId="0" applyNumberFormat="1" applyFont="1" applyFill="1" applyAlignment="1">
      <alignment vertical="center" wrapText="1"/>
    </xf>
    <xf numFmtId="176" fontId="121" fillId="24" borderId="11" xfId="0" applyNumberFormat="1" applyFont="1" applyFill="1" applyBorder="1" applyAlignment="1">
      <alignment horizontal="center" vertical="center" wrapText="1"/>
    </xf>
    <xf numFmtId="0" fontId="134" fillId="24" borderId="0" xfId="0" applyFont="1" applyFill="1" applyAlignment="1">
      <alignment horizontal="center" vertical="center" wrapText="1"/>
    </xf>
    <xf numFmtId="2" fontId="63" fillId="24" borderId="0" xfId="0" applyNumberFormat="1" applyFont="1" applyFill="1" applyAlignment="1">
      <alignment horizontal="center" vertical="center" wrapText="1"/>
    </xf>
    <xf numFmtId="0" fontId="63" fillId="24" borderId="0" xfId="0" applyFont="1" applyFill="1" applyAlignment="1">
      <alignment horizontal="center" vertical="center" wrapText="1"/>
    </xf>
    <xf numFmtId="49" fontId="122" fillId="24" borderId="10" xfId="565" applyNumberFormat="1" applyFont="1" applyFill="1" applyBorder="1" applyAlignment="1">
      <alignment horizontal="center" vertical="center" wrapText="1"/>
      <protection/>
    </xf>
    <xf numFmtId="175" fontId="63" fillId="24" borderId="0" xfId="0" applyNumberFormat="1" applyFont="1" applyFill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63" fillId="0" borderId="23" xfId="608" applyFont="1" applyBorder="1" applyAlignment="1">
      <alignment horizontal="center" vertical="center" wrapText="1"/>
      <protection/>
    </xf>
    <xf numFmtId="0" fontId="22" fillId="0" borderId="0" xfId="608" applyFont="1" applyFill="1" applyAlignment="1">
      <alignment horizontal="center" vertical="center" wrapText="1"/>
      <protection/>
    </xf>
    <xf numFmtId="0" fontId="22" fillId="0" borderId="0" xfId="608" applyFont="1" applyFill="1" applyAlignment="1">
      <alignment vertical="center" wrapText="1"/>
      <protection/>
    </xf>
    <xf numFmtId="0" fontId="52" fillId="0" borderId="10" xfId="608" applyFont="1" applyFill="1" applyBorder="1" applyAlignment="1">
      <alignment horizontal="center" vertical="center" wrapText="1"/>
      <protection/>
    </xf>
    <xf numFmtId="49" fontId="53" fillId="0" borderId="10" xfId="608" applyNumberFormat="1" applyFont="1" applyFill="1" applyBorder="1" applyAlignment="1">
      <alignment horizontal="center" vertical="center" wrapText="1"/>
      <protection/>
    </xf>
    <xf numFmtId="175" fontId="63" fillId="0" borderId="23" xfId="608" applyNumberFormat="1" applyFont="1" applyFill="1" applyBorder="1" applyAlignment="1">
      <alignment horizontal="center" vertical="center" wrapText="1"/>
      <protection/>
    </xf>
    <xf numFmtId="0" fontId="63" fillId="24" borderId="0" xfId="0" applyFont="1" applyFill="1" applyBorder="1" applyAlignment="1">
      <alignment horizontal="center" vertical="center" wrapText="1"/>
    </xf>
    <xf numFmtId="49" fontId="53" fillId="24" borderId="10" xfId="0" applyNumberFormat="1" applyFont="1" applyFill="1" applyBorder="1" applyAlignment="1">
      <alignment horizontal="center" vertical="center" wrapText="1"/>
    </xf>
    <xf numFmtId="49" fontId="122" fillId="0" borderId="10" xfId="608" applyNumberFormat="1" applyFont="1" applyFill="1" applyBorder="1" applyAlignment="1">
      <alignment horizontal="center" vertical="center" wrapText="1"/>
      <protection/>
    </xf>
    <xf numFmtId="0" fontId="63" fillId="24" borderId="23" xfId="0" applyFont="1" applyFill="1" applyBorder="1" applyAlignment="1">
      <alignment horizontal="center" vertical="center" wrapText="1"/>
    </xf>
    <xf numFmtId="0" fontId="63" fillId="24" borderId="0" xfId="0" applyFont="1" applyFill="1" applyAlignment="1">
      <alignment vertical="center" wrapText="1"/>
    </xf>
    <xf numFmtId="0" fontId="23" fillId="24" borderId="0" xfId="0" applyFont="1" applyFill="1" applyAlignment="1">
      <alignment vertical="center" wrapText="1"/>
    </xf>
    <xf numFmtId="0" fontId="41" fillId="24" borderId="10" xfId="565" applyFont="1" applyFill="1" applyBorder="1" applyAlignment="1">
      <alignment horizontal="center" vertical="center" wrapText="1"/>
      <protection/>
    </xf>
    <xf numFmtId="0" fontId="41" fillId="24" borderId="10" xfId="565" applyFont="1" applyFill="1" applyBorder="1" applyAlignment="1">
      <alignment vertical="center" wrapText="1"/>
      <protection/>
    </xf>
    <xf numFmtId="49" fontId="135" fillId="24" borderId="10" xfId="565" applyNumberFormat="1" applyFont="1" applyFill="1" applyBorder="1" applyAlignment="1">
      <alignment horizontal="center" vertical="center" wrapText="1"/>
      <protection/>
    </xf>
    <xf numFmtId="0" fontId="41" fillId="24" borderId="11" xfId="608" applyFont="1" applyFill="1" applyBorder="1" applyAlignment="1">
      <alignment horizontal="center" vertical="center" wrapText="1"/>
      <protection/>
    </xf>
    <xf numFmtId="2" fontId="28" fillId="24" borderId="11" xfId="608" applyNumberFormat="1" applyFont="1" applyFill="1" applyBorder="1" applyAlignment="1">
      <alignment horizontal="center" vertical="center" wrapText="1"/>
      <protection/>
    </xf>
    <xf numFmtId="2" fontId="28" fillId="0" borderId="11" xfId="608" applyNumberFormat="1" applyFont="1" applyFill="1" applyBorder="1" applyAlignment="1">
      <alignment horizontal="center" vertical="center" wrapText="1"/>
      <protection/>
    </xf>
    <xf numFmtId="175" fontId="28" fillId="24" borderId="11" xfId="608" applyNumberFormat="1" applyFont="1" applyFill="1" applyBorder="1" applyAlignment="1">
      <alignment horizontal="center" vertical="center" wrapText="1"/>
      <protection/>
    </xf>
    <xf numFmtId="0" fontId="43" fillId="0" borderId="0" xfId="568" applyFont="1" applyAlignment="1">
      <alignment horizontal="center" vertical="center" wrapText="1"/>
      <protection/>
    </xf>
    <xf numFmtId="9" fontId="136" fillId="24" borderId="11" xfId="0" applyNumberFormat="1" applyFont="1" applyFill="1" applyBorder="1" applyAlignment="1">
      <alignment horizontal="center" vertical="center" wrapText="1"/>
    </xf>
    <xf numFmtId="0" fontId="31" fillId="0" borderId="11" xfId="608" applyFont="1" applyBorder="1" applyAlignment="1">
      <alignment horizontal="left" vertical="center" wrapText="1"/>
      <protection/>
    </xf>
    <xf numFmtId="0" fontId="83" fillId="0" borderId="11" xfId="608" applyFont="1" applyBorder="1" applyAlignment="1">
      <alignment horizontal="center" vertical="center"/>
      <protection/>
    </xf>
    <xf numFmtId="0" fontId="80" fillId="0" borderId="11" xfId="608" applyFont="1" applyBorder="1" applyAlignment="1">
      <alignment horizontal="center" vertical="center"/>
      <protection/>
    </xf>
    <xf numFmtId="175" fontId="29" fillId="24" borderId="10" xfId="565" applyNumberFormat="1" applyFont="1" applyFill="1" applyBorder="1" applyAlignment="1">
      <alignment horizontal="center" vertical="center" wrapText="1"/>
      <protection/>
    </xf>
    <xf numFmtId="0" fontId="80" fillId="0" borderId="11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left" vertical="center"/>
    </xf>
    <xf numFmtId="0" fontId="83" fillId="24" borderId="11" xfId="608" applyFont="1" applyFill="1" applyBorder="1" applyAlignment="1">
      <alignment horizontal="center" vertical="center"/>
      <protection/>
    </xf>
    <xf numFmtId="0" fontId="52" fillId="24" borderId="10" xfId="565" applyFont="1" applyFill="1" applyBorder="1" applyAlignment="1">
      <alignment horizontal="center" vertical="center" wrapText="1"/>
      <protection/>
    </xf>
    <xf numFmtId="0" fontId="122" fillId="24" borderId="10" xfId="565" applyFont="1" applyFill="1" applyBorder="1" applyAlignment="1">
      <alignment vertical="center" wrapText="1"/>
      <protection/>
    </xf>
    <xf numFmtId="0" fontId="122" fillId="24" borderId="10" xfId="565" applyFont="1" applyFill="1" applyBorder="1" applyAlignment="1">
      <alignment horizontal="center" vertical="center" wrapText="1"/>
      <protection/>
    </xf>
    <xf numFmtId="0" fontId="80" fillId="24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83" fillId="24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1" fillId="24" borderId="9" xfId="0" applyFont="1" applyFill="1" applyBorder="1" applyAlignment="1">
      <alignment horizontal="left" vertical="center" wrapText="1"/>
    </xf>
    <xf numFmtId="0" fontId="87" fillId="24" borderId="11" xfId="0" applyFont="1" applyFill="1" applyBorder="1" applyAlignment="1">
      <alignment vertical="center" wrapText="1"/>
    </xf>
    <xf numFmtId="0" fontId="137" fillId="24" borderId="11" xfId="0" applyFont="1" applyFill="1" applyBorder="1" applyAlignment="1">
      <alignment vertical="center" wrapText="1"/>
    </xf>
    <xf numFmtId="0" fontId="32" fillId="0" borderId="11" xfId="0" applyFont="1" applyBorder="1" applyAlignment="1">
      <alignment horizontal="left" vertical="center" wrapText="1"/>
    </xf>
    <xf numFmtId="0" fontId="37" fillId="24" borderId="11" xfId="608" applyFont="1" applyFill="1" applyBorder="1" applyAlignment="1">
      <alignment horizontal="center" vertical="center" wrapText="1"/>
      <protection/>
    </xf>
    <xf numFmtId="0" fontId="29" fillId="24" borderId="11" xfId="608" applyFont="1" applyFill="1" applyBorder="1" applyAlignment="1">
      <alignment horizontal="center" vertical="center" wrapText="1"/>
      <protection/>
    </xf>
    <xf numFmtId="49" fontId="53" fillId="24" borderId="11" xfId="609" applyNumberFormat="1" applyFont="1" applyFill="1" applyBorder="1" applyAlignment="1">
      <alignment horizontal="center" vertical="center" wrapText="1"/>
      <protection/>
    </xf>
    <xf numFmtId="0" fontId="53" fillId="24" borderId="0" xfId="0" applyFont="1" applyFill="1" applyBorder="1" applyAlignment="1">
      <alignment vertical="center"/>
    </xf>
    <xf numFmtId="0" fontId="53" fillId="24" borderId="11" xfId="0" applyFont="1" applyFill="1" applyBorder="1" applyAlignment="1" quotePrefix="1">
      <alignment horizontal="center" vertical="center" wrapText="1"/>
    </xf>
    <xf numFmtId="0" fontId="37" fillId="24" borderId="11" xfId="568" applyFont="1" applyFill="1" applyBorder="1" applyAlignment="1">
      <alignment horizontal="center" vertical="center" wrapText="1"/>
      <protection/>
    </xf>
    <xf numFmtId="0" fontId="29" fillId="24" borderId="11" xfId="568" applyFont="1" applyFill="1" applyBorder="1" applyAlignment="1">
      <alignment horizontal="center" vertical="center" wrapText="1"/>
      <protection/>
    </xf>
    <xf numFmtId="0" fontId="29" fillId="24" borderId="10" xfId="568" applyFont="1" applyFill="1" applyBorder="1" applyAlignment="1">
      <alignment horizontal="center" vertical="center" wrapText="1"/>
      <protection/>
    </xf>
    <xf numFmtId="2" fontId="118" fillId="24" borderId="10" xfId="0" applyNumberFormat="1" applyFont="1" applyFill="1" applyBorder="1" applyAlignment="1">
      <alignment horizontal="center" vertical="center" wrapText="1"/>
    </xf>
    <xf numFmtId="0" fontId="53" fillId="0" borderId="10" xfId="608" applyFont="1" applyFill="1" applyBorder="1" applyAlignment="1">
      <alignment horizontal="center" vertical="center" wrapText="1"/>
      <protection/>
    </xf>
    <xf numFmtId="0" fontId="63" fillId="24" borderId="0" xfId="0" applyFont="1" applyFill="1" applyBorder="1" applyAlignment="1">
      <alignment vertical="center" wrapText="1"/>
    </xf>
    <xf numFmtId="0" fontId="121" fillId="24" borderId="0" xfId="706" applyFont="1" applyFill="1" applyAlignment="1">
      <alignment vertical="center"/>
      <protection/>
    </xf>
    <xf numFmtId="0" fontId="121" fillId="24" borderId="0" xfId="610" applyFont="1" applyFill="1" applyAlignment="1">
      <alignment horizontal="center" vertical="center" wrapText="1"/>
      <protection/>
    </xf>
    <xf numFmtId="0" fontId="121" fillId="24" borderId="14" xfId="610" applyFont="1" applyFill="1" applyBorder="1" applyAlignment="1">
      <alignment horizontal="center" vertical="center" wrapText="1"/>
      <protection/>
    </xf>
    <xf numFmtId="4" fontId="138" fillId="24" borderId="11" xfId="610" applyNumberFormat="1" applyFont="1" applyFill="1" applyBorder="1" applyAlignment="1">
      <alignment horizontal="center" vertical="center" wrapText="1"/>
      <protection/>
    </xf>
    <xf numFmtId="4" fontId="138" fillId="24" borderId="16" xfId="0" applyNumberFormat="1" applyFont="1" applyFill="1" applyBorder="1" applyAlignment="1">
      <alignment horizontal="center" vertical="center" wrapText="1"/>
    </xf>
    <xf numFmtId="4" fontId="121" fillId="24" borderId="25" xfId="0" applyNumberFormat="1" applyFont="1" applyFill="1" applyBorder="1" applyAlignment="1">
      <alignment horizontal="center" vertical="center" wrapText="1"/>
    </xf>
    <xf numFmtId="4" fontId="138" fillId="24" borderId="25" xfId="0" applyNumberFormat="1" applyFont="1" applyFill="1" applyBorder="1" applyAlignment="1">
      <alignment horizontal="center" vertical="center" wrapText="1"/>
    </xf>
    <xf numFmtId="4" fontId="138" fillId="24" borderId="26" xfId="0" applyNumberFormat="1" applyFont="1" applyFill="1" applyBorder="1" applyAlignment="1">
      <alignment horizontal="center" vertical="center" wrapText="1"/>
    </xf>
    <xf numFmtId="2" fontId="121" fillId="24" borderId="0" xfId="610" applyNumberFormat="1" applyFont="1" applyFill="1" applyAlignment="1">
      <alignment horizontal="center" vertical="center" wrapText="1"/>
      <protection/>
    </xf>
    <xf numFmtId="176" fontId="28" fillId="24" borderId="10" xfId="568" applyNumberFormat="1" applyFont="1" applyFill="1" applyBorder="1" applyAlignment="1">
      <alignment horizontal="center" vertical="center" wrapText="1"/>
      <protection/>
    </xf>
    <xf numFmtId="0" fontId="41" fillId="24" borderId="11" xfId="568" applyFont="1" applyFill="1" applyBorder="1" applyAlignment="1">
      <alignment horizontal="center" vertical="center" wrapText="1"/>
      <protection/>
    </xf>
    <xf numFmtId="2" fontId="28" fillId="24" borderId="11" xfId="568" applyNumberFormat="1" applyFont="1" applyFill="1" applyBorder="1" applyAlignment="1">
      <alignment horizontal="center" vertical="center" wrapText="1"/>
      <protection/>
    </xf>
    <xf numFmtId="0" fontId="29" fillId="24" borderId="12" xfId="610" applyFont="1" applyFill="1" applyBorder="1" applyAlignment="1">
      <alignment horizontal="center" vertical="center" wrapText="1"/>
      <protection/>
    </xf>
    <xf numFmtId="0" fontId="121" fillId="24" borderId="12" xfId="610" applyFont="1" applyFill="1" applyBorder="1" applyAlignment="1">
      <alignment horizontal="center" vertical="center" wrapText="1"/>
      <protection/>
    </xf>
    <xf numFmtId="2" fontId="121" fillId="24" borderId="0" xfId="0" applyNumberFormat="1" applyFont="1" applyFill="1" applyAlignment="1">
      <alignment horizontal="center" vertical="center" wrapText="1"/>
    </xf>
    <xf numFmtId="175" fontId="28" fillId="24" borderId="0" xfId="0" applyNumberFormat="1" applyFont="1" applyFill="1" applyAlignment="1">
      <alignment horizontal="center" vertical="center" wrapText="1"/>
    </xf>
    <xf numFmtId="175" fontId="119" fillId="24" borderId="0" xfId="0" applyNumberFormat="1" applyFont="1" applyFill="1" applyAlignment="1">
      <alignment horizontal="center" vertical="center" wrapText="1"/>
    </xf>
    <xf numFmtId="2" fontId="138" fillId="24" borderId="0" xfId="0" applyNumberFormat="1" applyFont="1" applyFill="1" applyAlignment="1">
      <alignment horizontal="center" vertical="center" wrapText="1"/>
    </xf>
    <xf numFmtId="4" fontId="37" fillId="24" borderId="0" xfId="610" applyNumberFormat="1" applyFont="1" applyFill="1" applyBorder="1" applyAlignment="1">
      <alignment horizontal="center" vertical="center" wrapText="1"/>
      <protection/>
    </xf>
    <xf numFmtId="4" fontId="138" fillId="24" borderId="0" xfId="610" applyNumberFormat="1" applyFont="1" applyFill="1" applyBorder="1" applyAlignment="1">
      <alignment horizontal="center" vertical="center" wrapText="1"/>
      <protection/>
    </xf>
    <xf numFmtId="178" fontId="29" fillId="24" borderId="0" xfId="610" applyNumberFormat="1" applyFont="1" applyFill="1" applyBorder="1" applyAlignment="1">
      <alignment horizontal="center" vertical="center" wrapText="1"/>
      <protection/>
    </xf>
    <xf numFmtId="4" fontId="121" fillId="24" borderId="0" xfId="610" applyNumberFormat="1" applyFont="1" applyFill="1" applyAlignment="1">
      <alignment horizontal="center" vertical="center" wrapText="1"/>
      <protection/>
    </xf>
    <xf numFmtId="178" fontId="37" fillId="24" borderId="0" xfId="610" applyNumberFormat="1" applyFont="1" applyFill="1" applyAlignment="1">
      <alignment horizontal="center" vertical="center" wrapText="1"/>
      <protection/>
    </xf>
    <xf numFmtId="178" fontId="138" fillId="24" borderId="0" xfId="610" applyNumberFormat="1" applyFont="1" applyFill="1" applyAlignment="1">
      <alignment horizontal="center" vertical="center" wrapText="1"/>
      <protection/>
    </xf>
    <xf numFmtId="178" fontId="121" fillId="24" borderId="0" xfId="610" applyNumberFormat="1" applyFont="1" applyFill="1" applyAlignment="1">
      <alignment horizontal="center" vertical="center" wrapText="1"/>
      <protection/>
    </xf>
    <xf numFmtId="2" fontId="37" fillId="29" borderId="10" xfId="0" applyNumberFormat="1" applyFont="1" applyFill="1" applyBorder="1" applyAlignment="1">
      <alignment horizontal="center" vertical="center" wrapText="1"/>
    </xf>
    <xf numFmtId="2" fontId="37" fillId="29" borderId="11" xfId="0" applyNumberFormat="1" applyFont="1" applyFill="1" applyBorder="1" applyAlignment="1">
      <alignment horizontal="center" vertical="center" wrapText="1"/>
    </xf>
    <xf numFmtId="1" fontId="29" fillId="24" borderId="10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118" fillId="24" borderId="11" xfId="0" applyFont="1" applyFill="1" applyBorder="1" applyAlignment="1">
      <alignment vertical="center" wrapText="1"/>
    </xf>
    <xf numFmtId="175" fontId="124" fillId="24" borderId="23" xfId="568" applyNumberFormat="1" applyFont="1" applyFill="1" applyBorder="1" applyAlignment="1">
      <alignment horizontal="center" vertical="center" wrapText="1"/>
      <protection/>
    </xf>
    <xf numFmtId="175" fontId="124" fillId="24" borderId="0" xfId="568" applyNumberFormat="1" applyFont="1" applyFill="1" applyBorder="1" applyAlignment="1">
      <alignment horizontal="center" vertical="center" wrapText="1"/>
      <protection/>
    </xf>
    <xf numFmtId="0" fontId="29" fillId="24" borderId="12" xfId="568" applyFont="1" applyFill="1" applyBorder="1" applyAlignment="1">
      <alignment horizontal="center" vertical="center" wrapText="1"/>
      <protection/>
    </xf>
    <xf numFmtId="0" fontId="37" fillId="24" borderId="0" xfId="608" applyFont="1" applyFill="1" applyAlignment="1">
      <alignment horizontal="center" vertical="center" wrapText="1"/>
      <protection/>
    </xf>
    <xf numFmtId="0" fontId="29" fillId="24" borderId="0" xfId="568" applyFont="1" applyFill="1" applyBorder="1" applyAlignment="1">
      <alignment horizontal="center" vertical="center" wrapText="1"/>
      <protection/>
    </xf>
    <xf numFmtId="0" fontId="29" fillId="24" borderId="13" xfId="568" applyFont="1" applyFill="1" applyBorder="1" applyAlignment="1">
      <alignment horizontal="center" vertical="center" wrapText="1"/>
      <protection/>
    </xf>
    <xf numFmtId="2" fontId="29" fillId="24" borderId="13" xfId="568" applyNumberFormat="1" applyFont="1" applyFill="1" applyBorder="1" applyAlignment="1">
      <alignment horizontal="center" vertical="center" wrapText="1"/>
      <protection/>
    </xf>
    <xf numFmtId="175" fontId="29" fillId="24" borderId="10" xfId="568" applyNumberFormat="1" applyFont="1" applyFill="1" applyBorder="1" applyAlignment="1">
      <alignment horizontal="center" vertical="center" wrapText="1"/>
      <protection/>
    </xf>
    <xf numFmtId="2" fontId="37" fillId="24" borderId="10" xfId="565" applyNumberFormat="1" applyFont="1" applyFill="1" applyBorder="1" applyAlignment="1">
      <alignment horizontal="center" vertical="center" wrapText="1"/>
      <protection/>
    </xf>
    <xf numFmtId="2" fontId="37" fillId="24" borderId="11" xfId="565" applyNumberFormat="1" applyFont="1" applyFill="1" applyBorder="1" applyAlignment="1">
      <alignment horizontal="center" vertical="center" wrapText="1"/>
      <protection/>
    </xf>
    <xf numFmtId="177" fontId="37" fillId="24" borderId="0" xfId="568" applyNumberFormat="1" applyFont="1" applyFill="1" applyBorder="1" applyAlignment="1">
      <alignment horizontal="center" vertical="center" wrapText="1"/>
      <protection/>
    </xf>
    <xf numFmtId="4" fontId="37" fillId="24" borderId="0" xfId="568" applyNumberFormat="1" applyFont="1" applyFill="1" applyBorder="1" applyAlignment="1">
      <alignment horizontal="center" vertical="center" wrapText="1"/>
      <protection/>
    </xf>
    <xf numFmtId="4" fontId="37" fillId="24" borderId="0" xfId="568" applyNumberFormat="1" applyFont="1" applyFill="1" applyAlignment="1">
      <alignment horizontal="center" vertical="center" wrapText="1"/>
      <protection/>
    </xf>
    <xf numFmtId="4" fontId="29" fillId="24" borderId="0" xfId="568" applyNumberFormat="1" applyFont="1" applyFill="1" applyAlignment="1">
      <alignment horizontal="center" vertical="center" wrapText="1"/>
      <protection/>
    </xf>
    <xf numFmtId="2" fontId="29" fillId="24" borderId="0" xfId="568" applyNumberFormat="1" applyFont="1" applyFill="1" applyBorder="1" applyAlignment="1">
      <alignment horizontal="center" vertical="center" wrapText="1"/>
      <protection/>
    </xf>
    <xf numFmtId="0" fontId="29" fillId="24" borderId="0" xfId="568" applyFont="1" applyFill="1" applyAlignment="1">
      <alignment horizontal="center" vertical="center" wrapText="1"/>
      <protection/>
    </xf>
    <xf numFmtId="2" fontId="29" fillId="24" borderId="0" xfId="568" applyNumberFormat="1" applyFont="1" applyFill="1" applyAlignment="1">
      <alignment horizontal="center" vertical="center" wrapText="1"/>
      <protection/>
    </xf>
    <xf numFmtId="0" fontId="29" fillId="0" borderId="12" xfId="565" applyNumberFormat="1" applyFont="1" applyFill="1" applyBorder="1" applyAlignment="1">
      <alignment horizontal="center" vertical="center"/>
      <protection/>
    </xf>
    <xf numFmtId="175" fontId="90" fillId="24" borderId="27" xfId="0" applyNumberFormat="1" applyFont="1" applyFill="1" applyBorder="1" applyAlignment="1">
      <alignment horizontal="center" vertical="center" wrapText="1"/>
    </xf>
    <xf numFmtId="175" fontId="90" fillId="24" borderId="9" xfId="0" applyNumberFormat="1" applyFont="1" applyFill="1" applyBorder="1" applyAlignment="1">
      <alignment horizontal="center" vertical="center" wrapText="1"/>
    </xf>
    <xf numFmtId="176" fontId="91" fillId="24" borderId="11" xfId="0" applyNumberFormat="1" applyFont="1" applyFill="1" applyBorder="1" applyAlignment="1">
      <alignment horizontal="center" vertical="center" wrapText="1"/>
    </xf>
    <xf numFmtId="175" fontId="90" fillId="24" borderId="11" xfId="0" applyNumberFormat="1" applyFont="1" applyFill="1" applyBorder="1" applyAlignment="1">
      <alignment horizontal="center" vertical="center" wrapText="1"/>
    </xf>
    <xf numFmtId="175" fontId="90" fillId="0" borderId="11" xfId="0" applyNumberFormat="1" applyFont="1" applyBorder="1" applyAlignment="1">
      <alignment horizontal="center" vertical="center"/>
    </xf>
    <xf numFmtId="175" fontId="121" fillId="0" borderId="11" xfId="0" applyNumberFormat="1" applyFont="1" applyBorder="1" applyAlignment="1">
      <alignment horizontal="center" vertical="center"/>
    </xf>
    <xf numFmtId="175" fontId="37" fillId="24" borderId="10" xfId="565" applyNumberFormat="1" applyFont="1" applyFill="1" applyBorder="1" applyAlignment="1">
      <alignment vertical="center" wrapText="1"/>
      <protection/>
    </xf>
    <xf numFmtId="0" fontId="37" fillId="24" borderId="0" xfId="568" applyFont="1" applyFill="1" applyBorder="1" applyAlignment="1">
      <alignment horizontal="center" vertical="center" wrapText="1"/>
      <protection/>
    </xf>
    <xf numFmtId="0" fontId="119" fillId="24" borderId="0" xfId="608" applyFont="1" applyFill="1" applyAlignment="1">
      <alignment horizontal="center" vertical="center" wrapText="1"/>
      <protection/>
    </xf>
    <xf numFmtId="0" fontId="119" fillId="24" borderId="0" xfId="568" applyFont="1" applyFill="1" applyBorder="1" applyAlignment="1">
      <alignment horizontal="center" vertical="center" wrapText="1"/>
      <protection/>
    </xf>
    <xf numFmtId="0" fontId="119" fillId="24" borderId="13" xfId="568" applyFont="1" applyFill="1" applyBorder="1" applyAlignment="1">
      <alignment horizontal="center" vertical="center" wrapText="1"/>
      <protection/>
    </xf>
    <xf numFmtId="0" fontId="92" fillId="0" borderId="11" xfId="0" applyFont="1" applyBorder="1" applyAlignment="1">
      <alignment horizontal="center" vertical="center"/>
    </xf>
    <xf numFmtId="0" fontId="92" fillId="24" borderId="11" xfId="0" applyFont="1" applyFill="1" applyBorder="1" applyAlignment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19" fillId="24" borderId="11" xfId="0" applyFont="1" applyFill="1" applyBorder="1" applyAlignment="1">
      <alignment horizontal="center" vertical="center"/>
    </xf>
    <xf numFmtId="0" fontId="119" fillId="24" borderId="0" xfId="568" applyFont="1" applyFill="1" applyAlignment="1">
      <alignment horizontal="center" vertical="center" wrapText="1"/>
      <protection/>
    </xf>
    <xf numFmtId="0" fontId="41" fillId="24" borderId="0" xfId="608" applyFont="1" applyFill="1" applyAlignment="1">
      <alignment horizontal="center" vertical="center" wrapText="1"/>
      <protection/>
    </xf>
    <xf numFmtId="0" fontId="28" fillId="24" borderId="0" xfId="568" applyFont="1" applyFill="1" applyBorder="1" applyAlignment="1">
      <alignment horizontal="center" vertical="center" wrapText="1"/>
      <protection/>
    </xf>
    <xf numFmtId="0" fontId="28" fillId="24" borderId="13" xfId="568" applyFont="1" applyFill="1" applyBorder="1" applyAlignment="1">
      <alignment horizontal="center" vertical="center" wrapText="1"/>
      <protection/>
    </xf>
    <xf numFmtId="0" fontId="92" fillId="24" borderId="27" xfId="0" applyFont="1" applyFill="1" applyBorder="1" applyAlignment="1">
      <alignment horizontal="center" vertical="center" wrapText="1"/>
    </xf>
    <xf numFmtId="0" fontId="92" fillId="24" borderId="11" xfId="0" applyFont="1" applyFill="1" applyBorder="1" applyAlignment="1">
      <alignment horizontal="center" vertical="center" wrapText="1"/>
    </xf>
    <xf numFmtId="0" fontId="41" fillId="24" borderId="0" xfId="568" applyFont="1" applyFill="1" applyBorder="1" applyAlignment="1">
      <alignment horizontal="center" vertical="center" wrapText="1"/>
      <protection/>
    </xf>
    <xf numFmtId="0" fontId="28" fillId="24" borderId="0" xfId="568" applyFont="1" applyFill="1" applyBorder="1" applyAlignment="1">
      <alignment vertical="center" wrapText="1"/>
      <protection/>
    </xf>
    <xf numFmtId="0" fontId="28" fillId="24" borderId="0" xfId="568" applyFont="1" applyFill="1" applyAlignment="1">
      <alignment vertical="center" wrapText="1"/>
      <protection/>
    </xf>
    <xf numFmtId="175" fontId="29" fillId="24" borderId="11" xfId="565" applyNumberFormat="1" applyFont="1" applyFill="1" applyBorder="1" applyAlignment="1">
      <alignment horizontal="center" vertical="center" wrapText="1"/>
      <protection/>
    </xf>
    <xf numFmtId="2" fontId="68" fillId="0" borderId="11" xfId="568" applyNumberFormat="1" applyFont="1" applyBorder="1" applyAlignment="1">
      <alignment horizontal="right" vertical="center" wrapText="1"/>
      <protection/>
    </xf>
    <xf numFmtId="2" fontId="23" fillId="24" borderId="11" xfId="608" applyNumberFormat="1" applyFont="1" applyFill="1" applyBorder="1" applyAlignment="1">
      <alignment horizontal="center" vertical="center" wrapText="1"/>
      <protection/>
    </xf>
    <xf numFmtId="0" fontId="29" fillId="24" borderId="12" xfId="0" applyFont="1" applyFill="1" applyBorder="1" applyAlignment="1">
      <alignment horizontal="center" vertical="center" wrapText="1"/>
    </xf>
    <xf numFmtId="0" fontId="41" fillId="24" borderId="0" xfId="0" applyFont="1" applyFill="1" applyAlignment="1">
      <alignment horizontal="center" vertical="center" wrapText="1"/>
    </xf>
    <xf numFmtId="178" fontId="37" fillId="0" borderId="0" xfId="708" applyNumberFormat="1" applyFont="1" applyAlignment="1">
      <alignment horizontal="center" vertical="center"/>
      <protection/>
    </xf>
    <xf numFmtId="49" fontId="122" fillId="0" borderId="11" xfId="0" applyNumberFormat="1" applyFont="1" applyFill="1" applyBorder="1" applyAlignment="1">
      <alignment horizontal="center" vertical="center" wrapText="1"/>
    </xf>
    <xf numFmtId="0" fontId="124" fillId="0" borderId="11" xfId="0" applyFont="1" applyBorder="1" applyAlignment="1">
      <alignment horizontal="center" vertical="center" wrapText="1"/>
    </xf>
    <xf numFmtId="2" fontId="124" fillId="28" borderId="11" xfId="0" applyNumberFormat="1" applyFont="1" applyFill="1" applyBorder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24" fillId="0" borderId="10" xfId="0" applyFont="1" applyFill="1" applyBorder="1" applyAlignment="1">
      <alignment horizontal="center" vertical="center" wrapText="1"/>
    </xf>
    <xf numFmtId="0" fontId="122" fillId="0" borderId="10" xfId="0" applyFont="1" applyFill="1" applyBorder="1" applyAlignment="1">
      <alignment horizontal="center" vertical="center" wrapText="1"/>
    </xf>
    <xf numFmtId="0" fontId="121" fillId="24" borderId="11" xfId="0" applyFont="1" applyFill="1" applyBorder="1" applyAlignment="1">
      <alignment horizontal="center" vertical="center" wrapText="1"/>
    </xf>
    <xf numFmtId="2" fontId="119" fillId="24" borderId="10" xfId="0" applyNumberFormat="1" applyFont="1" applyFill="1" applyBorder="1" applyAlignment="1">
      <alignment horizontal="center" vertical="center" wrapText="1"/>
    </xf>
    <xf numFmtId="2" fontId="121" fillId="24" borderId="10" xfId="608" applyNumberFormat="1" applyFont="1" applyFill="1" applyBorder="1" applyAlignment="1">
      <alignment horizontal="center" vertical="center" wrapText="1"/>
      <protection/>
    </xf>
    <xf numFmtId="2" fontId="121" fillId="24" borderId="10" xfId="0" applyNumberFormat="1" applyFont="1" applyFill="1" applyBorder="1" applyAlignment="1">
      <alignment horizontal="center" vertical="center" wrapText="1"/>
    </xf>
    <xf numFmtId="0" fontId="118" fillId="0" borderId="0" xfId="0" applyFont="1" applyFill="1" applyAlignment="1">
      <alignment horizontal="center" vertical="center" wrapText="1"/>
    </xf>
    <xf numFmtId="0" fontId="124" fillId="24" borderId="10" xfId="0" applyFont="1" applyFill="1" applyBorder="1" applyAlignment="1">
      <alignment horizontal="center" vertical="center" wrapText="1"/>
    </xf>
    <xf numFmtId="0" fontId="122" fillId="0" borderId="11" xfId="0" applyFont="1" applyFill="1" applyBorder="1" applyAlignment="1">
      <alignment horizontal="center" vertical="center" wrapText="1"/>
    </xf>
    <xf numFmtId="0" fontId="118" fillId="30" borderId="0" xfId="0" applyFont="1" applyFill="1" applyAlignment="1">
      <alignment horizontal="center" vertical="center" wrapText="1"/>
    </xf>
    <xf numFmtId="0" fontId="118" fillId="0" borderId="10" xfId="0" applyFont="1" applyFill="1" applyBorder="1" applyAlignment="1">
      <alignment horizontal="center" vertical="center" wrapText="1"/>
    </xf>
    <xf numFmtId="0" fontId="124" fillId="0" borderId="10" xfId="0" applyFont="1" applyFill="1" applyBorder="1" applyAlignment="1">
      <alignment vertical="center" wrapText="1"/>
    </xf>
    <xf numFmtId="0" fontId="122" fillId="0" borderId="10" xfId="0" applyFont="1" applyBorder="1" applyAlignment="1">
      <alignment horizontal="center" vertical="center" wrapText="1"/>
    </xf>
    <xf numFmtId="0" fontId="139" fillId="0" borderId="0" xfId="0" applyFont="1" applyFill="1" applyAlignment="1">
      <alignment vertical="center" wrapText="1"/>
    </xf>
    <xf numFmtId="0" fontId="139" fillId="0" borderId="0" xfId="0" applyFont="1" applyFill="1" applyAlignment="1">
      <alignment vertical="center" wrapText="1"/>
    </xf>
    <xf numFmtId="0" fontId="120" fillId="24" borderId="11" xfId="0" applyFont="1" applyFill="1" applyBorder="1" applyAlignment="1">
      <alignment horizontal="center" vertical="center" wrapText="1"/>
    </xf>
    <xf numFmtId="0" fontId="121" fillId="24" borderId="10" xfId="0" applyFont="1" applyFill="1" applyBorder="1" applyAlignment="1">
      <alignment horizontal="center" vertical="center" wrapText="1"/>
    </xf>
    <xf numFmtId="0" fontId="138" fillId="24" borderId="11" xfId="0" applyFont="1" applyFill="1" applyBorder="1" applyAlignment="1">
      <alignment horizontal="center" vertical="center" wrapText="1"/>
    </xf>
    <xf numFmtId="176" fontId="119" fillId="24" borderId="10" xfId="0" applyNumberFormat="1" applyFont="1" applyFill="1" applyBorder="1" applyAlignment="1">
      <alignment horizontal="center" vertical="center" wrapText="1"/>
    </xf>
    <xf numFmtId="2" fontId="138" fillId="28" borderId="11" xfId="0" applyNumberFormat="1" applyFont="1" applyFill="1" applyBorder="1" applyAlignment="1">
      <alignment horizontal="center" vertical="center" wrapText="1"/>
    </xf>
    <xf numFmtId="0" fontId="140" fillId="24" borderId="0" xfId="0" applyFont="1" applyFill="1" applyBorder="1" applyAlignment="1">
      <alignment horizontal="center" vertical="center" wrapText="1"/>
    </xf>
    <xf numFmtId="0" fontId="138" fillId="24" borderId="0" xfId="0" applyFont="1" applyFill="1" applyAlignment="1">
      <alignment horizontal="center" vertical="center" wrapText="1"/>
    </xf>
    <xf numFmtId="0" fontId="120" fillId="24" borderId="10" xfId="0" applyFont="1" applyFill="1" applyBorder="1" applyAlignment="1">
      <alignment horizontal="center" vertical="center" wrapText="1"/>
    </xf>
    <xf numFmtId="0" fontId="121" fillId="24" borderId="0" xfId="0" applyFont="1" applyFill="1" applyAlignment="1">
      <alignment horizontal="center" vertical="center" wrapText="1"/>
    </xf>
    <xf numFmtId="2" fontId="37" fillId="28" borderId="10" xfId="568" applyNumberFormat="1" applyFont="1" applyFill="1" applyBorder="1" applyAlignment="1">
      <alignment horizontal="center" vertical="center" wrapText="1"/>
      <protection/>
    </xf>
    <xf numFmtId="176" fontId="29" fillId="24" borderId="11" xfId="707" applyNumberFormat="1" applyFont="1" applyFill="1" applyBorder="1" applyAlignment="1">
      <alignment horizontal="center" vertical="center"/>
      <protection/>
    </xf>
    <xf numFmtId="2" fontId="37" fillId="28" borderId="10" xfId="0" applyNumberFormat="1" applyFont="1" applyFill="1" applyBorder="1" applyAlignment="1">
      <alignment horizontal="center" vertical="center" wrapText="1"/>
    </xf>
    <xf numFmtId="175" fontId="29" fillId="24" borderId="10" xfId="0" applyNumberFormat="1" applyFont="1" applyFill="1" applyBorder="1" applyAlignment="1">
      <alignment horizontal="center" vertical="center" wrapText="1"/>
    </xf>
    <xf numFmtId="2" fontId="37" fillId="28" borderId="11" xfId="568" applyNumberFormat="1" applyFont="1" applyFill="1" applyBorder="1" applyAlignment="1">
      <alignment horizontal="center" vertical="center" wrapText="1"/>
      <protection/>
    </xf>
    <xf numFmtId="2" fontId="29" fillId="24" borderId="11" xfId="568" applyNumberFormat="1" applyFont="1" applyFill="1" applyBorder="1" applyAlignment="1">
      <alignment horizontal="center" vertical="center" wrapText="1"/>
      <protection/>
    </xf>
    <xf numFmtId="2" fontId="138" fillId="24" borderId="11" xfId="0" applyNumberFormat="1" applyFont="1" applyFill="1" applyBorder="1" applyAlignment="1">
      <alignment horizontal="center" vertical="center"/>
    </xf>
    <xf numFmtId="2" fontId="29" fillId="24" borderId="11" xfId="0" applyNumberFormat="1" applyFont="1" applyFill="1" applyBorder="1" applyAlignment="1">
      <alignment horizontal="center" vertical="center"/>
    </xf>
    <xf numFmtId="0" fontId="125" fillId="24" borderId="11" xfId="0" applyFont="1" applyFill="1" applyBorder="1" applyAlignment="1">
      <alignment horizontal="center" vertical="center" wrapText="1"/>
    </xf>
    <xf numFmtId="0" fontId="124" fillId="24" borderId="0" xfId="0" applyFont="1" applyFill="1" applyBorder="1" applyAlignment="1">
      <alignment vertical="center"/>
    </xf>
    <xf numFmtId="0" fontId="118" fillId="24" borderId="11" xfId="0" applyFont="1" applyFill="1" applyBorder="1" applyAlignment="1">
      <alignment horizontal="center" vertical="center" wrapText="1"/>
    </xf>
    <xf numFmtId="0" fontId="124" fillId="24" borderId="0" xfId="0" applyFont="1" applyFill="1" applyBorder="1" applyAlignment="1">
      <alignment/>
    </xf>
    <xf numFmtId="0" fontId="125" fillId="24" borderId="11" xfId="831" applyFont="1" applyFill="1" applyBorder="1" applyAlignment="1">
      <alignment horizontal="center" vertical="center"/>
      <protection/>
    </xf>
    <xf numFmtId="0" fontId="118" fillId="24" borderId="0" xfId="0" applyFont="1" applyFill="1" applyBorder="1" applyAlignment="1">
      <alignment vertical="center"/>
    </xf>
    <xf numFmtId="0" fontId="118" fillId="24" borderId="0" xfId="0" applyFont="1" applyFill="1" applyAlignment="1">
      <alignment horizontal="center" vertical="center" wrapText="1"/>
    </xf>
    <xf numFmtId="49" fontId="53" fillId="24" borderId="11" xfId="568" applyNumberFormat="1" applyFont="1" applyFill="1" applyBorder="1" applyAlignment="1">
      <alignment horizontal="center" vertical="center" wrapText="1"/>
      <protection/>
    </xf>
    <xf numFmtId="0" fontId="23" fillId="24" borderId="11" xfId="568" applyFont="1" applyFill="1" applyBorder="1" applyAlignment="1">
      <alignment horizontal="center" vertical="center" wrapText="1"/>
      <protection/>
    </xf>
    <xf numFmtId="0" fontId="22" fillId="24" borderId="11" xfId="568" applyFont="1" applyFill="1" applyBorder="1" applyAlignment="1">
      <alignment horizontal="center" vertical="center" wrapText="1"/>
      <protection/>
    </xf>
    <xf numFmtId="0" fontId="23" fillId="24" borderId="0" xfId="568" applyFont="1" applyFill="1" applyAlignment="1">
      <alignment vertical="center" wrapText="1"/>
      <protection/>
    </xf>
    <xf numFmtId="2" fontId="138" fillId="29" borderId="11" xfId="0" applyNumberFormat="1" applyFont="1" applyFill="1" applyBorder="1" applyAlignment="1">
      <alignment horizontal="center" vertical="center" wrapText="1"/>
    </xf>
    <xf numFmtId="2" fontId="41" fillId="24" borderId="11" xfId="568" applyNumberFormat="1" applyFont="1" applyFill="1" applyBorder="1" applyAlignment="1">
      <alignment horizontal="center" vertical="center" wrapText="1"/>
      <protection/>
    </xf>
    <xf numFmtId="2" fontId="37" fillId="29" borderId="11" xfId="568" applyNumberFormat="1" applyFont="1" applyFill="1" applyBorder="1" applyAlignment="1">
      <alignment horizontal="center" vertical="center" wrapText="1"/>
      <protection/>
    </xf>
    <xf numFmtId="0" fontId="138" fillId="24" borderId="11" xfId="609" applyFont="1" applyFill="1" applyBorder="1" applyAlignment="1">
      <alignment horizontal="center" vertical="center" wrapText="1"/>
      <protection/>
    </xf>
    <xf numFmtId="2" fontId="119" fillId="0" borderId="10" xfId="0" applyNumberFormat="1" applyFont="1" applyFill="1" applyBorder="1" applyAlignment="1">
      <alignment horizontal="center" vertical="center" wrapText="1"/>
    </xf>
    <xf numFmtId="0" fontId="119" fillId="24" borderId="11" xfId="831" applyFont="1" applyFill="1" applyBorder="1" applyAlignment="1">
      <alignment horizontal="center" vertical="center"/>
      <protection/>
    </xf>
    <xf numFmtId="0" fontId="121" fillId="24" borderId="0" xfId="0" applyFont="1" applyFill="1" applyAlignment="1">
      <alignment vertical="center"/>
    </xf>
    <xf numFmtId="0" fontId="138" fillId="24" borderId="0" xfId="0" applyFont="1" applyFill="1" applyAlignment="1">
      <alignment vertical="center" wrapText="1"/>
    </xf>
    <xf numFmtId="2" fontId="119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49" fontId="141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142" fillId="0" borderId="11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" fontId="141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9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 wrapText="1"/>
    </xf>
    <xf numFmtId="49" fontId="141" fillId="0" borderId="20" xfId="0" applyNumberFormat="1" applyFont="1" applyBorder="1" applyAlignment="1">
      <alignment horizontal="center" vertical="center"/>
    </xf>
    <xf numFmtId="4" fontId="60" fillId="0" borderId="20" xfId="0" applyNumberFormat="1" applyFont="1" applyBorder="1" applyAlignment="1">
      <alignment horizontal="center" vertical="center"/>
    </xf>
    <xf numFmtId="4" fontId="141" fillId="0" borderId="21" xfId="0" applyNumberFormat="1" applyFont="1" applyBorder="1" applyAlignment="1">
      <alignment horizontal="center" vertical="center"/>
    </xf>
    <xf numFmtId="49" fontId="98" fillId="0" borderId="15" xfId="0" applyNumberFormat="1" applyFont="1" applyBorder="1" applyAlignment="1">
      <alignment horizontal="center" vertical="center"/>
    </xf>
    <xf numFmtId="49" fontId="98" fillId="0" borderId="16" xfId="0" applyNumberFormat="1" applyFont="1" applyBorder="1" applyAlignment="1">
      <alignment horizontal="center" vertical="center"/>
    </xf>
    <xf numFmtId="4" fontId="98" fillId="0" borderId="16" xfId="0" applyNumberFormat="1" applyFont="1" applyBorder="1" applyAlignment="1">
      <alignment horizontal="center" vertical="center" wrapText="1"/>
    </xf>
    <xf numFmtId="49" fontId="143" fillId="0" borderId="16" xfId="0" applyNumberFormat="1" applyFont="1" applyBorder="1" applyAlignment="1">
      <alignment horizontal="center" vertical="center"/>
    </xf>
    <xf numFmtId="4" fontId="98" fillId="0" borderId="16" xfId="0" applyNumberFormat="1" applyFont="1" applyBorder="1" applyAlignment="1">
      <alignment horizontal="center" vertical="center"/>
    </xf>
    <xf numFmtId="4" fontId="143" fillId="0" borderId="22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 wrapText="1"/>
    </xf>
    <xf numFmtId="0" fontId="28" fillId="0" borderId="12" xfId="568" applyFont="1" applyFill="1" applyBorder="1" applyAlignment="1">
      <alignment horizontal="center" vertical="center" wrapText="1"/>
      <protection/>
    </xf>
    <xf numFmtId="0" fontId="29" fillId="0" borderId="12" xfId="568" applyFont="1" applyFill="1" applyBorder="1" applyAlignment="1">
      <alignment horizontal="center" vertical="center" wrapText="1"/>
      <protection/>
    </xf>
    <xf numFmtId="2" fontId="138" fillId="28" borderId="10" xfId="0" applyNumberFormat="1" applyFont="1" applyFill="1" applyBorder="1" applyAlignment="1">
      <alignment horizontal="center" vertical="center" wrapText="1"/>
    </xf>
    <xf numFmtId="2" fontId="124" fillId="28" borderId="10" xfId="0" applyNumberFormat="1" applyFont="1" applyFill="1" applyBorder="1" applyAlignment="1">
      <alignment horizontal="center" vertical="center" wrapText="1"/>
    </xf>
    <xf numFmtId="0" fontId="123" fillId="24" borderId="10" xfId="568" applyFont="1" applyFill="1" applyBorder="1" applyAlignment="1">
      <alignment horizontal="center" vertical="center" wrapText="1"/>
      <protection/>
    </xf>
    <xf numFmtId="0" fontId="24" fillId="24" borderId="10" xfId="568" applyFont="1" applyFill="1" applyBorder="1" applyAlignment="1">
      <alignment horizontal="center" vertical="center" wrapText="1"/>
      <protection/>
    </xf>
    <xf numFmtId="175" fontId="123" fillId="24" borderId="10" xfId="568" applyNumberFormat="1" applyFont="1" applyFill="1" applyBorder="1" applyAlignment="1">
      <alignment horizontal="center" vertical="center" wrapText="1"/>
      <protection/>
    </xf>
    <xf numFmtId="0" fontId="128" fillId="24" borderId="10" xfId="568" applyFont="1" applyFill="1" applyBorder="1" applyAlignment="1">
      <alignment horizontal="center" vertical="center"/>
      <protection/>
    </xf>
    <xf numFmtId="0" fontId="117" fillId="24" borderId="10" xfId="568" applyFont="1" applyFill="1" applyBorder="1" applyAlignment="1">
      <alignment horizontal="center" vertical="center"/>
      <protection/>
    </xf>
    <xf numFmtId="0" fontId="117" fillId="24" borderId="10" xfId="568" applyFont="1" applyFill="1" applyBorder="1" applyAlignment="1">
      <alignment horizontal="center" vertical="center"/>
      <protection/>
    </xf>
    <xf numFmtId="0" fontId="123" fillId="24" borderId="10" xfId="568" applyFont="1" applyFill="1" applyBorder="1" applyAlignment="1">
      <alignment horizontal="center" vertical="center" wrapText="1"/>
      <protection/>
    </xf>
    <xf numFmtId="175" fontId="90" fillId="24" borderId="0" xfId="0" applyNumberFormat="1" applyFont="1" applyFill="1" applyBorder="1" applyAlignment="1">
      <alignment horizontal="center" vertical="center" wrapText="1"/>
    </xf>
    <xf numFmtId="176" fontId="91" fillId="24" borderId="10" xfId="0" applyNumberFormat="1" applyFont="1" applyFill="1" applyBorder="1" applyAlignment="1">
      <alignment horizontal="center" vertical="center" wrapText="1"/>
    </xf>
    <xf numFmtId="175" fontId="90" fillId="24" borderId="10" xfId="0" applyNumberFormat="1" applyFont="1" applyFill="1" applyBorder="1" applyAlignment="1">
      <alignment horizontal="center" vertical="center" wrapText="1"/>
    </xf>
    <xf numFmtId="175" fontId="121" fillId="0" borderId="10" xfId="0" applyNumberFormat="1" applyFont="1" applyBorder="1" applyAlignment="1">
      <alignment horizontal="center" vertical="center"/>
    </xf>
    <xf numFmtId="175" fontId="90" fillId="0" borderId="10" xfId="0" applyNumberFormat="1" applyFont="1" applyBorder="1" applyAlignment="1">
      <alignment horizontal="center" vertical="center"/>
    </xf>
    <xf numFmtId="176" fontId="29" fillId="24" borderId="10" xfId="707" applyNumberFormat="1" applyFont="1" applyFill="1" applyBorder="1" applyAlignment="1">
      <alignment horizontal="center" vertical="center"/>
      <protection/>
    </xf>
    <xf numFmtId="2" fontId="29" fillId="24" borderId="10" xfId="707" applyNumberFormat="1" applyFont="1" applyFill="1" applyBorder="1" applyAlignment="1">
      <alignment horizontal="center" vertical="center"/>
      <protection/>
    </xf>
    <xf numFmtId="2" fontId="138" fillId="29" borderId="10" xfId="0" applyNumberFormat="1" applyFont="1" applyFill="1" applyBorder="1" applyAlignment="1">
      <alignment horizontal="center" vertical="center" wrapText="1"/>
    </xf>
    <xf numFmtId="2" fontId="138" fillId="24" borderId="10" xfId="0" applyNumberFormat="1" applyFont="1" applyFill="1" applyBorder="1" applyAlignment="1">
      <alignment horizontal="center" vertical="center"/>
    </xf>
    <xf numFmtId="2" fontId="29" fillId="24" borderId="10" xfId="0" applyNumberFormat="1" applyFont="1" applyFill="1" applyBorder="1" applyAlignment="1">
      <alignment horizontal="center" vertical="center"/>
    </xf>
    <xf numFmtId="2" fontId="37" fillId="29" borderId="10" xfId="568" applyNumberFormat="1" applyFont="1" applyFill="1" applyBorder="1" applyAlignment="1">
      <alignment horizontal="center" vertical="center" wrapText="1"/>
      <protection/>
    </xf>
    <xf numFmtId="0" fontId="31" fillId="0" borderId="0" xfId="706" applyFont="1" applyAlignment="1">
      <alignment horizontal="center" vertical="center"/>
      <protection/>
    </xf>
    <xf numFmtId="0" fontId="36" fillId="0" borderId="0" xfId="706" applyFont="1" applyAlignment="1">
      <alignment horizontal="center" vertical="center" wrapText="1"/>
      <protection/>
    </xf>
    <xf numFmtId="0" fontId="144" fillId="0" borderId="0" xfId="706" applyFont="1" applyAlignment="1">
      <alignment horizontal="center" vertical="center"/>
      <protection/>
    </xf>
    <xf numFmtId="0" fontId="34" fillId="0" borderId="0" xfId="706" applyFont="1" applyAlignment="1">
      <alignment horizontal="center" vertical="center"/>
      <protection/>
    </xf>
    <xf numFmtId="0" fontId="33" fillId="0" borderId="0" xfId="706" applyFont="1" applyAlignment="1">
      <alignment horizontal="center" vertical="center"/>
      <protection/>
    </xf>
    <xf numFmtId="173" fontId="29" fillId="0" borderId="0" xfId="433" applyFont="1" applyAlignment="1">
      <alignment horizontal="center" vertical="center"/>
    </xf>
    <xf numFmtId="0" fontId="29" fillId="0" borderId="0" xfId="708" applyFont="1" applyAlignment="1">
      <alignment horizontal="center" vertical="center"/>
      <protection/>
    </xf>
    <xf numFmtId="0" fontId="29" fillId="0" borderId="0" xfId="708" applyFont="1" applyAlignment="1">
      <alignment horizontal="left" vertical="center" wrapText="1"/>
      <protection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9" fillId="24" borderId="0" xfId="610" applyFont="1" applyFill="1" applyAlignment="1">
      <alignment horizontal="center" vertical="center" wrapText="1"/>
      <protection/>
    </xf>
    <xf numFmtId="0" fontId="40" fillId="0" borderId="0" xfId="708" applyFont="1" applyAlignment="1">
      <alignment horizontal="center" vertical="center" wrapText="1"/>
      <protection/>
    </xf>
    <xf numFmtId="0" fontId="39" fillId="0" borderId="0" xfId="708" applyFont="1" applyAlignment="1">
      <alignment horizontal="center" vertical="center"/>
      <protection/>
    </xf>
    <xf numFmtId="0" fontId="29" fillId="0" borderId="0" xfId="708" applyFont="1" applyAlignment="1">
      <alignment horizontal="left" vertical="center"/>
      <protection/>
    </xf>
    <xf numFmtId="0" fontId="29" fillId="24" borderId="0" xfId="708" applyFont="1" applyFill="1" applyAlignment="1">
      <alignment horizontal="left" vertical="center" wrapText="1"/>
      <protection/>
    </xf>
    <xf numFmtId="0" fontId="43" fillId="0" borderId="0" xfId="706" applyFont="1" applyAlignment="1">
      <alignment horizontal="center" vertical="center" wrapText="1"/>
      <protection/>
    </xf>
    <xf numFmtId="0" fontId="40" fillId="24" borderId="0" xfId="610" applyFont="1" applyFill="1" applyAlignment="1">
      <alignment horizontal="center" vertical="center" wrapText="1"/>
      <protection/>
    </xf>
    <xf numFmtId="0" fontId="41" fillId="0" borderId="0" xfId="0" applyFont="1" applyAlignment="1">
      <alignment horizontal="left" vertical="center"/>
    </xf>
    <xf numFmtId="0" fontId="29" fillId="24" borderId="12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7" fillId="24" borderId="0" xfId="0" applyFont="1" applyFill="1" applyAlignment="1">
      <alignment horizontal="left" vertical="center"/>
    </xf>
    <xf numFmtId="0" fontId="40" fillId="24" borderId="0" xfId="0" applyFont="1" applyFill="1" applyAlignment="1">
      <alignment horizontal="center" vertical="center" wrapText="1"/>
    </xf>
    <xf numFmtId="0" fontId="41" fillId="24" borderId="0" xfId="0" applyFont="1" applyFill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 vertical="center" wrapText="1"/>
    </xf>
    <xf numFmtId="0" fontId="119" fillId="24" borderId="12" xfId="0" applyFont="1" applyFill="1" applyBorder="1" applyAlignment="1">
      <alignment horizontal="center" vertical="center" wrapText="1"/>
    </xf>
    <xf numFmtId="0" fontId="29" fillId="24" borderId="12" xfId="568" applyFont="1" applyFill="1" applyBorder="1" applyAlignment="1">
      <alignment horizontal="center" vertical="center" wrapText="1"/>
      <protection/>
    </xf>
    <xf numFmtId="0" fontId="64" fillId="24" borderId="0" xfId="608" applyFont="1" applyFill="1" applyAlignment="1">
      <alignment horizontal="center" vertical="center" wrapText="1"/>
      <protection/>
    </xf>
    <xf numFmtId="0" fontId="28" fillId="24" borderId="12" xfId="568" applyFont="1" applyFill="1" applyBorder="1" applyAlignment="1">
      <alignment horizontal="center" vertical="center" wrapText="1"/>
      <protection/>
    </xf>
    <xf numFmtId="0" fontId="119" fillId="24" borderId="12" xfId="568" applyFont="1" applyFill="1" applyBorder="1" applyAlignment="1">
      <alignment horizontal="center" vertical="center" wrapText="1"/>
      <protection/>
    </xf>
    <xf numFmtId="0" fontId="28" fillId="0" borderId="12" xfId="568" applyFont="1" applyFill="1" applyBorder="1" applyAlignment="1">
      <alignment horizontal="center" vertical="center" wrapText="1"/>
      <protection/>
    </xf>
    <xf numFmtId="0" fontId="55" fillId="0" borderId="0" xfId="568" applyFont="1" applyAlignment="1">
      <alignment horizontal="center" vertical="center" wrapText="1"/>
      <protection/>
    </xf>
    <xf numFmtId="0" fontId="29" fillId="0" borderId="12" xfId="568" applyFont="1" applyFill="1" applyBorder="1" applyAlignment="1">
      <alignment horizontal="center" vertical="center" wrapText="1"/>
      <protection/>
    </xf>
    <xf numFmtId="49" fontId="99" fillId="0" borderId="28" xfId="0" applyNumberFormat="1" applyFont="1" applyFill="1" applyBorder="1" applyAlignment="1">
      <alignment horizontal="center" vertical="center"/>
    </xf>
    <xf numFmtId="49" fontId="99" fillId="0" borderId="29" xfId="0" applyNumberFormat="1" applyFont="1" applyFill="1" applyBorder="1" applyAlignment="1">
      <alignment horizontal="center" vertical="center"/>
    </xf>
    <xf numFmtId="49" fontId="99" fillId="0" borderId="30" xfId="0" applyNumberFormat="1" applyFont="1" applyFill="1" applyBorder="1" applyAlignment="1">
      <alignment horizontal="center" vertical="center"/>
    </xf>
  </cellXfs>
  <cellStyles count="830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20% – rõhk1" xfId="87"/>
    <cellStyle name="20% – rõhk2" xfId="88"/>
    <cellStyle name="20% – rõhk3" xfId="89"/>
    <cellStyle name="20% – rõhk4" xfId="90"/>
    <cellStyle name="20% – rõhk5" xfId="91"/>
    <cellStyle name="20% – rõhk6" xfId="92"/>
    <cellStyle name="20% - Акцент1" xfId="93"/>
    <cellStyle name="20% - Акцент2" xfId="94"/>
    <cellStyle name="20% - Акцент3" xfId="95"/>
    <cellStyle name="20% - Акцент4" xfId="96"/>
    <cellStyle name="20% - Акцент5" xfId="97"/>
    <cellStyle name="20% - Акцент6" xfId="98"/>
    <cellStyle name="40% - Accent1" xfId="99"/>
    <cellStyle name="40% - Accent1 2" xfId="100"/>
    <cellStyle name="40% - Accent1 2 2" xfId="101"/>
    <cellStyle name="40% - Accent1 2 3" xfId="102"/>
    <cellStyle name="40% - Accent1 2 4" xfId="103"/>
    <cellStyle name="40% - Accent1 2 5" xfId="104"/>
    <cellStyle name="40% - Accent1 3" xfId="105"/>
    <cellStyle name="40% - Accent1 4" xfId="106"/>
    <cellStyle name="40% - Accent1 4 2" xfId="107"/>
    <cellStyle name="40% - Accent1 5" xfId="108"/>
    <cellStyle name="40% - Accent1 6" xfId="109"/>
    <cellStyle name="40% - Accent1 7" xfId="110"/>
    <cellStyle name="40% - Accent2" xfId="111"/>
    <cellStyle name="40% - Accent2 2" xfId="112"/>
    <cellStyle name="40% - Accent2 2 2" xfId="113"/>
    <cellStyle name="40% - Accent2 2 3" xfId="114"/>
    <cellStyle name="40% - Accent2 2 4" xfId="115"/>
    <cellStyle name="40% - Accent2 2 5" xfId="116"/>
    <cellStyle name="40% - Accent2 3" xfId="117"/>
    <cellStyle name="40% - Accent2 4" xfId="118"/>
    <cellStyle name="40% - Accent2 4 2" xfId="119"/>
    <cellStyle name="40% - Accent2 5" xfId="120"/>
    <cellStyle name="40% - Accent2 6" xfId="121"/>
    <cellStyle name="40% - Accent2 7" xfId="122"/>
    <cellStyle name="40% - Accent3" xfId="123"/>
    <cellStyle name="40% - Accent3 2" xfId="124"/>
    <cellStyle name="40% - Accent3 2 2" xfId="125"/>
    <cellStyle name="40% - Accent3 2 3" xfId="126"/>
    <cellStyle name="40% - Accent3 2 4" xfId="127"/>
    <cellStyle name="40% - Accent3 2 5" xfId="128"/>
    <cellStyle name="40% - Accent3 3" xfId="129"/>
    <cellStyle name="40% - Accent3 4" xfId="130"/>
    <cellStyle name="40% - Accent3 4 2" xfId="131"/>
    <cellStyle name="40% - Accent3 5" xfId="132"/>
    <cellStyle name="40% - Accent3 6" xfId="133"/>
    <cellStyle name="40% - Accent3 7" xfId="134"/>
    <cellStyle name="40% - Accent4" xfId="135"/>
    <cellStyle name="40% - Accent4 2" xfId="136"/>
    <cellStyle name="40% - Accent4 2 2" xfId="137"/>
    <cellStyle name="40% - Accent4 2 3" xfId="138"/>
    <cellStyle name="40% - Accent4 2 4" xfId="139"/>
    <cellStyle name="40% - Accent4 2 5" xfId="140"/>
    <cellStyle name="40% - Accent4 3" xfId="141"/>
    <cellStyle name="40% - Accent4 4" xfId="142"/>
    <cellStyle name="40% - Accent4 4 2" xfId="143"/>
    <cellStyle name="40% - Accent4 5" xfId="144"/>
    <cellStyle name="40% - Accent4 6" xfId="145"/>
    <cellStyle name="40% - Accent4 7" xfId="146"/>
    <cellStyle name="40% - Accent5" xfId="147"/>
    <cellStyle name="40% - Accent5 2" xfId="148"/>
    <cellStyle name="40% - Accent5 2 2" xfId="149"/>
    <cellStyle name="40% - Accent5 2 3" xfId="150"/>
    <cellStyle name="40% - Accent5 2 4" xfId="151"/>
    <cellStyle name="40% - Accent5 2 5" xfId="152"/>
    <cellStyle name="40% - Accent5 3" xfId="153"/>
    <cellStyle name="40% - Accent5 4" xfId="154"/>
    <cellStyle name="40% - Accent5 4 2" xfId="155"/>
    <cellStyle name="40% - Accent5 5" xfId="156"/>
    <cellStyle name="40% - Accent5 6" xfId="157"/>
    <cellStyle name="40% - Accent5 7" xfId="158"/>
    <cellStyle name="40% - Accent6" xfId="159"/>
    <cellStyle name="40% - Accent6 2" xfId="160"/>
    <cellStyle name="40% - Accent6 2 2" xfId="161"/>
    <cellStyle name="40% - Accent6 2 3" xfId="162"/>
    <cellStyle name="40% - Accent6 2 4" xfId="163"/>
    <cellStyle name="40% - Accent6 2 5" xfId="164"/>
    <cellStyle name="40% - Accent6 3" xfId="165"/>
    <cellStyle name="40% - Accent6 4" xfId="166"/>
    <cellStyle name="40% - Accent6 4 2" xfId="167"/>
    <cellStyle name="40% - Accent6 5" xfId="168"/>
    <cellStyle name="40% - Accent6 6" xfId="169"/>
    <cellStyle name="40% - Accent6 7" xfId="170"/>
    <cellStyle name="40% – rõhk1" xfId="171"/>
    <cellStyle name="40% – rõhk2" xfId="172"/>
    <cellStyle name="40% – rõhk3" xfId="173"/>
    <cellStyle name="40% – rõhk4" xfId="174"/>
    <cellStyle name="40% – rõhk5" xfId="175"/>
    <cellStyle name="40% – rõhk6" xfId="176"/>
    <cellStyle name="40% - Акцент1" xfId="177"/>
    <cellStyle name="40% - Акцент2" xfId="178"/>
    <cellStyle name="40% - Акцент3" xfId="179"/>
    <cellStyle name="40% - Акцент4" xfId="180"/>
    <cellStyle name="40% - Акцент5" xfId="181"/>
    <cellStyle name="40% - Акцент6" xfId="182"/>
    <cellStyle name="60% - Accent1" xfId="183"/>
    <cellStyle name="60% - Accent1 2" xfId="184"/>
    <cellStyle name="60% - Accent1 2 2" xfId="185"/>
    <cellStyle name="60% - Accent1 2 3" xfId="186"/>
    <cellStyle name="60% - Accent1 2 4" xfId="187"/>
    <cellStyle name="60% - Accent1 2 5" xfId="188"/>
    <cellStyle name="60% - Accent1 3" xfId="189"/>
    <cellStyle name="60% - Accent1 4" xfId="190"/>
    <cellStyle name="60% - Accent1 4 2" xfId="191"/>
    <cellStyle name="60% - Accent1 5" xfId="192"/>
    <cellStyle name="60% - Accent1 6" xfId="193"/>
    <cellStyle name="60% - Accent1 7" xfId="194"/>
    <cellStyle name="60% - Accent2" xfId="195"/>
    <cellStyle name="60% - Accent2 2" xfId="196"/>
    <cellStyle name="60% - Accent2 2 2" xfId="197"/>
    <cellStyle name="60% - Accent2 2 3" xfId="198"/>
    <cellStyle name="60% - Accent2 2 4" xfId="199"/>
    <cellStyle name="60% - Accent2 2 5" xfId="200"/>
    <cellStyle name="60% - Accent2 3" xfId="201"/>
    <cellStyle name="60% - Accent2 4" xfId="202"/>
    <cellStyle name="60% - Accent2 4 2" xfId="203"/>
    <cellStyle name="60% - Accent2 5" xfId="204"/>
    <cellStyle name="60% - Accent2 6" xfId="205"/>
    <cellStyle name="60% - Accent2 7" xfId="206"/>
    <cellStyle name="60% - Accent3" xfId="207"/>
    <cellStyle name="60% - Accent3 2" xfId="208"/>
    <cellStyle name="60% - Accent3 2 2" xfId="209"/>
    <cellStyle name="60% - Accent3 2 3" xfId="210"/>
    <cellStyle name="60% - Accent3 2 4" xfId="211"/>
    <cellStyle name="60% - Accent3 2 5" xfId="212"/>
    <cellStyle name="60% - Accent3 3" xfId="213"/>
    <cellStyle name="60% - Accent3 4" xfId="214"/>
    <cellStyle name="60% - Accent3 4 2" xfId="215"/>
    <cellStyle name="60% - Accent3 5" xfId="216"/>
    <cellStyle name="60% - Accent3 6" xfId="217"/>
    <cellStyle name="60% - Accent3 7" xfId="218"/>
    <cellStyle name="60% - Accent4" xfId="219"/>
    <cellStyle name="60% - Accent4 2" xfId="220"/>
    <cellStyle name="60% - Accent4 2 2" xfId="221"/>
    <cellStyle name="60% - Accent4 2 3" xfId="222"/>
    <cellStyle name="60% - Accent4 2 4" xfId="223"/>
    <cellStyle name="60% - Accent4 2 5" xfId="224"/>
    <cellStyle name="60% - Accent4 3" xfId="225"/>
    <cellStyle name="60% - Accent4 4" xfId="226"/>
    <cellStyle name="60% - Accent4 4 2" xfId="227"/>
    <cellStyle name="60% - Accent4 5" xfId="228"/>
    <cellStyle name="60% - Accent4 6" xfId="229"/>
    <cellStyle name="60% - Accent4 7" xfId="230"/>
    <cellStyle name="60% - Accent5" xfId="231"/>
    <cellStyle name="60% - Accent5 2" xfId="232"/>
    <cellStyle name="60% - Accent5 2 2" xfId="233"/>
    <cellStyle name="60% - Accent5 2 3" xfId="234"/>
    <cellStyle name="60% - Accent5 2 4" xfId="235"/>
    <cellStyle name="60% - Accent5 2 5" xfId="236"/>
    <cellStyle name="60% - Accent5 3" xfId="237"/>
    <cellStyle name="60% - Accent5 4" xfId="238"/>
    <cellStyle name="60% - Accent5 4 2" xfId="239"/>
    <cellStyle name="60% - Accent5 5" xfId="240"/>
    <cellStyle name="60% - Accent5 6" xfId="241"/>
    <cellStyle name="60% - Accent5 7" xfId="242"/>
    <cellStyle name="60% - Accent6" xfId="243"/>
    <cellStyle name="60% - Accent6 2" xfId="244"/>
    <cellStyle name="60% - Accent6 2 2" xfId="245"/>
    <cellStyle name="60% - Accent6 2 3" xfId="246"/>
    <cellStyle name="60% - Accent6 2 4" xfId="247"/>
    <cellStyle name="60% - Accent6 2 5" xfId="248"/>
    <cellStyle name="60% - Accent6 3" xfId="249"/>
    <cellStyle name="60% - Accent6 4" xfId="250"/>
    <cellStyle name="60% - Accent6 4 2" xfId="251"/>
    <cellStyle name="60% - Accent6 5" xfId="252"/>
    <cellStyle name="60% - Accent6 6" xfId="253"/>
    <cellStyle name="60% - Accent6 7" xfId="254"/>
    <cellStyle name="60% – rõhk1" xfId="255"/>
    <cellStyle name="60% – rõhk2" xfId="256"/>
    <cellStyle name="60% – rõhk3" xfId="257"/>
    <cellStyle name="60% – rõhk4" xfId="258"/>
    <cellStyle name="60% – rõhk5" xfId="259"/>
    <cellStyle name="60% – rõhk6" xfId="260"/>
    <cellStyle name="60% - Акцент1" xfId="261"/>
    <cellStyle name="60% - Акцент2" xfId="262"/>
    <cellStyle name="60% - Акцент3" xfId="263"/>
    <cellStyle name="60% - Акцент4" xfId="264"/>
    <cellStyle name="60% - Акцент5" xfId="265"/>
    <cellStyle name="60% - Акцент6" xfId="266"/>
    <cellStyle name="Accent1" xfId="267"/>
    <cellStyle name="Accent1 2" xfId="268"/>
    <cellStyle name="Accent1 2 2" xfId="269"/>
    <cellStyle name="Accent1 2 3" xfId="270"/>
    <cellStyle name="Accent1 2 4" xfId="271"/>
    <cellStyle name="Accent1 2 5" xfId="272"/>
    <cellStyle name="Accent1 3" xfId="273"/>
    <cellStyle name="Accent1 4" xfId="274"/>
    <cellStyle name="Accent1 4 2" xfId="275"/>
    <cellStyle name="Accent1 5" xfId="276"/>
    <cellStyle name="Accent1 6" xfId="277"/>
    <cellStyle name="Accent1 7" xfId="278"/>
    <cellStyle name="Accent2" xfId="279"/>
    <cellStyle name="Accent2 2" xfId="280"/>
    <cellStyle name="Accent2 2 2" xfId="281"/>
    <cellStyle name="Accent2 2 3" xfId="282"/>
    <cellStyle name="Accent2 2 4" xfId="283"/>
    <cellStyle name="Accent2 2 5" xfId="284"/>
    <cellStyle name="Accent2 3" xfId="285"/>
    <cellStyle name="Accent2 4" xfId="286"/>
    <cellStyle name="Accent2 4 2" xfId="287"/>
    <cellStyle name="Accent2 5" xfId="288"/>
    <cellStyle name="Accent2 6" xfId="289"/>
    <cellStyle name="Accent2 7" xfId="290"/>
    <cellStyle name="Accent3" xfId="291"/>
    <cellStyle name="Accent3 2" xfId="292"/>
    <cellStyle name="Accent3 2 2" xfId="293"/>
    <cellStyle name="Accent3 2 3" xfId="294"/>
    <cellStyle name="Accent3 2 4" xfId="295"/>
    <cellStyle name="Accent3 2 5" xfId="296"/>
    <cellStyle name="Accent3 3" xfId="297"/>
    <cellStyle name="Accent3 4" xfId="298"/>
    <cellStyle name="Accent3 4 2" xfId="299"/>
    <cellStyle name="Accent3 5" xfId="300"/>
    <cellStyle name="Accent3 6" xfId="301"/>
    <cellStyle name="Accent3 7" xfId="302"/>
    <cellStyle name="Accent4" xfId="303"/>
    <cellStyle name="Accent4 2" xfId="304"/>
    <cellStyle name="Accent4 2 2" xfId="305"/>
    <cellStyle name="Accent4 2 3" xfId="306"/>
    <cellStyle name="Accent4 2 4" xfId="307"/>
    <cellStyle name="Accent4 2 5" xfId="308"/>
    <cellStyle name="Accent4 3" xfId="309"/>
    <cellStyle name="Accent4 4" xfId="310"/>
    <cellStyle name="Accent4 4 2" xfId="311"/>
    <cellStyle name="Accent4 5" xfId="312"/>
    <cellStyle name="Accent4 6" xfId="313"/>
    <cellStyle name="Accent4 7" xfId="314"/>
    <cellStyle name="Accent5" xfId="315"/>
    <cellStyle name="Accent5 2" xfId="316"/>
    <cellStyle name="Accent5 2 2" xfId="317"/>
    <cellStyle name="Accent5 2 3" xfId="318"/>
    <cellStyle name="Accent5 2 4" xfId="319"/>
    <cellStyle name="Accent5 2 5" xfId="320"/>
    <cellStyle name="Accent5 3" xfId="321"/>
    <cellStyle name="Accent5 4" xfId="322"/>
    <cellStyle name="Accent5 4 2" xfId="323"/>
    <cellStyle name="Accent5 5" xfId="324"/>
    <cellStyle name="Accent5 6" xfId="325"/>
    <cellStyle name="Accent5 7" xfId="326"/>
    <cellStyle name="Accent6" xfId="327"/>
    <cellStyle name="Accent6 2" xfId="328"/>
    <cellStyle name="Accent6 2 2" xfId="329"/>
    <cellStyle name="Accent6 2 3" xfId="330"/>
    <cellStyle name="Accent6 2 4" xfId="331"/>
    <cellStyle name="Accent6 2 5" xfId="332"/>
    <cellStyle name="Accent6 3" xfId="333"/>
    <cellStyle name="Accent6 4" xfId="334"/>
    <cellStyle name="Accent6 4 2" xfId="335"/>
    <cellStyle name="Accent6 5" xfId="336"/>
    <cellStyle name="Accent6 6" xfId="337"/>
    <cellStyle name="Accent6 7" xfId="338"/>
    <cellStyle name="Arvutus" xfId="339"/>
    <cellStyle name="Bad" xfId="340"/>
    <cellStyle name="Bad 2" xfId="341"/>
    <cellStyle name="Bad 2 2" xfId="342"/>
    <cellStyle name="Bad 2 3" xfId="343"/>
    <cellStyle name="Bad 2 4" xfId="344"/>
    <cellStyle name="Bad 2 5" xfId="345"/>
    <cellStyle name="Bad 3" xfId="346"/>
    <cellStyle name="Bad 4" xfId="347"/>
    <cellStyle name="Bad 4 2" xfId="348"/>
    <cellStyle name="Bad 5" xfId="349"/>
    <cellStyle name="Bad 6" xfId="350"/>
    <cellStyle name="Bad 7" xfId="351"/>
    <cellStyle name="Calculation" xfId="352"/>
    <cellStyle name="Calculation 2" xfId="353"/>
    <cellStyle name="Calculation 2 2" xfId="354"/>
    <cellStyle name="Calculation 2 3" xfId="355"/>
    <cellStyle name="Calculation 2 4" xfId="356"/>
    <cellStyle name="Calculation 2 5" xfId="357"/>
    <cellStyle name="Calculation 2_anakia II etapi.xls sm. defeqturi" xfId="358"/>
    <cellStyle name="Calculation 3" xfId="359"/>
    <cellStyle name="Calculation 4" xfId="360"/>
    <cellStyle name="Calculation 4 2" xfId="361"/>
    <cellStyle name="Calculation 4_anakia II etapi.xls sm. defeqturi" xfId="362"/>
    <cellStyle name="Calculation 5" xfId="363"/>
    <cellStyle name="Calculation 6" xfId="364"/>
    <cellStyle name="Calculation 7" xfId="365"/>
    <cellStyle name="Check Cell" xfId="366"/>
    <cellStyle name="Check Cell 2" xfId="367"/>
    <cellStyle name="Check Cell 2 2" xfId="368"/>
    <cellStyle name="Check Cell 2 3" xfId="369"/>
    <cellStyle name="Check Cell 2 4" xfId="370"/>
    <cellStyle name="Check Cell 2 5" xfId="371"/>
    <cellStyle name="Check Cell 2_anakia II etapi.xls sm. defeqturi" xfId="372"/>
    <cellStyle name="Check Cell 3" xfId="373"/>
    <cellStyle name="Check Cell 4" xfId="374"/>
    <cellStyle name="Check Cell 4 2" xfId="375"/>
    <cellStyle name="Check Cell 4_anakia II etapi.xls sm. defeqturi" xfId="376"/>
    <cellStyle name="Check Cell 5" xfId="377"/>
    <cellStyle name="Check Cell 6" xfId="378"/>
    <cellStyle name="Check Cell 7" xfId="379"/>
    <cellStyle name="Comma" xfId="380"/>
    <cellStyle name="Comma [0]" xfId="381"/>
    <cellStyle name="Comma 10" xfId="382"/>
    <cellStyle name="Comma 10 2" xfId="383"/>
    <cellStyle name="Comma 11" xfId="384"/>
    <cellStyle name="Comma 11 2" xfId="385"/>
    <cellStyle name="Comma 12" xfId="386"/>
    <cellStyle name="Comma 12 2" xfId="387"/>
    <cellStyle name="Comma 12 3" xfId="388"/>
    <cellStyle name="Comma 12 4" xfId="389"/>
    <cellStyle name="Comma 12 5" xfId="390"/>
    <cellStyle name="Comma 12 6" xfId="391"/>
    <cellStyle name="Comma 12 7" xfId="392"/>
    <cellStyle name="Comma 12 8" xfId="393"/>
    <cellStyle name="Comma 13" xfId="394"/>
    <cellStyle name="Comma 14" xfId="395"/>
    <cellStyle name="Comma 14 2" xfId="396"/>
    <cellStyle name="Comma 15" xfId="397"/>
    <cellStyle name="Comma 16" xfId="398"/>
    <cellStyle name="Comma 17" xfId="399"/>
    <cellStyle name="Comma 17 2" xfId="400"/>
    <cellStyle name="Comma 18" xfId="401"/>
    <cellStyle name="Comma 18 2" xfId="402"/>
    <cellStyle name="Comma 19" xfId="403"/>
    <cellStyle name="Comma 19 2" xfId="404"/>
    <cellStyle name="Comma 19 3" xfId="405"/>
    <cellStyle name="Comma 19 4" xfId="406"/>
    <cellStyle name="Comma 2" xfId="407"/>
    <cellStyle name="Comma 2 2" xfId="408"/>
    <cellStyle name="Comma 2 2 2" xfId="409"/>
    <cellStyle name="Comma 2 2 3" xfId="410"/>
    <cellStyle name="Comma 2 3" xfId="411"/>
    <cellStyle name="Comma 2 4" xfId="412"/>
    <cellStyle name="Comma 2 5" xfId="413"/>
    <cellStyle name="Comma 2 6" xfId="414"/>
    <cellStyle name="Comma 20" xfId="415"/>
    <cellStyle name="Comma 3" xfId="416"/>
    <cellStyle name="Comma 3 2" xfId="417"/>
    <cellStyle name="Comma 3 3" xfId="418"/>
    <cellStyle name="Comma 4" xfId="419"/>
    <cellStyle name="Comma 5" xfId="420"/>
    <cellStyle name="Comma 5 2" xfId="421"/>
    <cellStyle name="Comma 6" xfId="422"/>
    <cellStyle name="Comma 6 2" xfId="423"/>
    <cellStyle name="Comma 7" xfId="424"/>
    <cellStyle name="Comma 7 2" xfId="425"/>
    <cellStyle name="Comma 8" xfId="426"/>
    <cellStyle name="Comma 8 2" xfId="427"/>
    <cellStyle name="Comma 9" xfId="428"/>
    <cellStyle name="Comma 9 2" xfId="429"/>
    <cellStyle name="Currency" xfId="430"/>
    <cellStyle name="Currency [0]" xfId="431"/>
    <cellStyle name="Currency 2" xfId="432"/>
    <cellStyle name="Currency_McxeTa BOQ - File. 17.05.2010" xfId="433"/>
    <cellStyle name="Explanatory Text" xfId="434"/>
    <cellStyle name="Explanatory Text 2" xfId="435"/>
    <cellStyle name="Explanatory Text 2 2" xfId="436"/>
    <cellStyle name="Explanatory Text 2 3" xfId="437"/>
    <cellStyle name="Explanatory Text 2 4" xfId="438"/>
    <cellStyle name="Explanatory Text 2 5" xfId="439"/>
    <cellStyle name="Explanatory Text 3" xfId="440"/>
    <cellStyle name="Explanatory Text 4" xfId="441"/>
    <cellStyle name="Explanatory Text 4 2" xfId="442"/>
    <cellStyle name="Explanatory Text 5" xfId="443"/>
    <cellStyle name="Explanatory Text 6" xfId="444"/>
    <cellStyle name="Explanatory Text 7" xfId="445"/>
    <cellStyle name="Followed Hyperlink" xfId="446"/>
    <cellStyle name="Good" xfId="447"/>
    <cellStyle name="Good 2" xfId="448"/>
    <cellStyle name="Good 2 2" xfId="449"/>
    <cellStyle name="Good 2 3" xfId="450"/>
    <cellStyle name="Good 2 4" xfId="451"/>
    <cellStyle name="Good 2 5" xfId="452"/>
    <cellStyle name="Good 3" xfId="453"/>
    <cellStyle name="Good 4" xfId="454"/>
    <cellStyle name="Good 4 2" xfId="455"/>
    <cellStyle name="Good 5" xfId="456"/>
    <cellStyle name="Good 6" xfId="457"/>
    <cellStyle name="Good 7" xfId="458"/>
    <cellStyle name="Halb" xfId="459"/>
    <cellStyle name="Hea" xfId="460"/>
    <cellStyle name="Heading 1" xfId="461"/>
    <cellStyle name="Heading 1 2" xfId="462"/>
    <cellStyle name="Heading 1 2 2" xfId="463"/>
    <cellStyle name="Heading 1 2 3" xfId="464"/>
    <cellStyle name="Heading 1 2 4" xfId="465"/>
    <cellStyle name="Heading 1 2 5" xfId="466"/>
    <cellStyle name="Heading 1 2_anakia II etapi.xls sm. defeqturi" xfId="467"/>
    <cellStyle name="Heading 1 3" xfId="468"/>
    <cellStyle name="Heading 1 4" xfId="469"/>
    <cellStyle name="Heading 1 4 2" xfId="470"/>
    <cellStyle name="Heading 1 4_anakia II etapi.xls sm. defeqturi" xfId="471"/>
    <cellStyle name="Heading 1 5" xfId="472"/>
    <cellStyle name="Heading 1 6" xfId="473"/>
    <cellStyle name="Heading 1 7" xfId="474"/>
    <cellStyle name="Heading 2" xfId="475"/>
    <cellStyle name="Heading 2 2" xfId="476"/>
    <cellStyle name="Heading 2 2 2" xfId="477"/>
    <cellStyle name="Heading 2 2 3" xfId="478"/>
    <cellStyle name="Heading 2 2 4" xfId="479"/>
    <cellStyle name="Heading 2 2 5" xfId="480"/>
    <cellStyle name="Heading 2 2_anakia II etapi.xls sm. defeqturi" xfId="481"/>
    <cellStyle name="Heading 2 3" xfId="482"/>
    <cellStyle name="Heading 2 4" xfId="483"/>
    <cellStyle name="Heading 2 4 2" xfId="484"/>
    <cellStyle name="Heading 2 4_anakia II etapi.xls sm. defeqturi" xfId="485"/>
    <cellStyle name="Heading 2 5" xfId="486"/>
    <cellStyle name="Heading 2 6" xfId="487"/>
    <cellStyle name="Heading 2 7" xfId="488"/>
    <cellStyle name="Heading 3" xfId="489"/>
    <cellStyle name="Heading 3 2" xfId="490"/>
    <cellStyle name="Heading 3 2 2" xfId="491"/>
    <cellStyle name="Heading 3 2 3" xfId="492"/>
    <cellStyle name="Heading 3 2 4" xfId="493"/>
    <cellStyle name="Heading 3 2 5" xfId="494"/>
    <cellStyle name="Heading 3 2_anakia II etapi.xls sm. defeqturi" xfId="495"/>
    <cellStyle name="Heading 3 3" xfId="496"/>
    <cellStyle name="Heading 3 4" xfId="497"/>
    <cellStyle name="Heading 3 4 2" xfId="498"/>
    <cellStyle name="Heading 3 4_anakia II etapi.xls sm. defeqturi" xfId="499"/>
    <cellStyle name="Heading 3 5" xfId="500"/>
    <cellStyle name="Heading 3 6" xfId="501"/>
    <cellStyle name="Heading 3 7" xfId="502"/>
    <cellStyle name="Heading 4" xfId="503"/>
    <cellStyle name="Heading 4 2" xfId="504"/>
    <cellStyle name="Heading 4 2 2" xfId="505"/>
    <cellStyle name="Heading 4 2 3" xfId="506"/>
    <cellStyle name="Heading 4 2 4" xfId="507"/>
    <cellStyle name="Heading 4 2 5" xfId="508"/>
    <cellStyle name="Heading 4 3" xfId="509"/>
    <cellStyle name="Heading 4 4" xfId="510"/>
    <cellStyle name="Heading 4 4 2" xfId="511"/>
    <cellStyle name="Heading 4 5" xfId="512"/>
    <cellStyle name="Heading 4 6" xfId="513"/>
    <cellStyle name="Heading 4 7" xfId="514"/>
    <cellStyle name="Hoiatustekst" xfId="515"/>
    <cellStyle name="Hyperlink" xfId="516"/>
    <cellStyle name="Hyperlink 2" xfId="517"/>
    <cellStyle name="Hyperlink 2 2" xfId="518"/>
    <cellStyle name="Hyperlink 3" xfId="519"/>
    <cellStyle name="Input" xfId="520"/>
    <cellStyle name="Input 2" xfId="521"/>
    <cellStyle name="Input 2 2" xfId="522"/>
    <cellStyle name="Input 2 3" xfId="523"/>
    <cellStyle name="Input 2 4" xfId="524"/>
    <cellStyle name="Input 2 5" xfId="525"/>
    <cellStyle name="Input 2_anakia II etapi.xls sm. defeqturi" xfId="526"/>
    <cellStyle name="Input 3" xfId="527"/>
    <cellStyle name="Input 4" xfId="528"/>
    <cellStyle name="Input 4 2" xfId="529"/>
    <cellStyle name="Input 4_anakia II etapi.xls sm. defeqturi" xfId="530"/>
    <cellStyle name="Input 5" xfId="531"/>
    <cellStyle name="Input 6" xfId="532"/>
    <cellStyle name="Input 7" xfId="533"/>
    <cellStyle name="Kokku" xfId="534"/>
    <cellStyle name="Kontrolli lahtrit" xfId="535"/>
    <cellStyle name="Lingitud lahter" xfId="536"/>
    <cellStyle name="Linked Cell" xfId="537"/>
    <cellStyle name="Linked Cell 2" xfId="538"/>
    <cellStyle name="Linked Cell 2 2" xfId="539"/>
    <cellStyle name="Linked Cell 2 3" xfId="540"/>
    <cellStyle name="Linked Cell 2 4" xfId="541"/>
    <cellStyle name="Linked Cell 2 5" xfId="542"/>
    <cellStyle name="Linked Cell 2_anakia II etapi.xls sm. defeqturi" xfId="543"/>
    <cellStyle name="Linked Cell 3" xfId="544"/>
    <cellStyle name="Linked Cell 4" xfId="545"/>
    <cellStyle name="Linked Cell 4 2" xfId="546"/>
    <cellStyle name="Linked Cell 4_anakia II etapi.xls sm. defeqturi" xfId="547"/>
    <cellStyle name="Linked Cell 5" xfId="548"/>
    <cellStyle name="Linked Cell 6" xfId="549"/>
    <cellStyle name="Linked Cell 7" xfId="550"/>
    <cellStyle name="Märkus" xfId="551"/>
    <cellStyle name="Neutraalne" xfId="552"/>
    <cellStyle name="Neutral" xfId="553"/>
    <cellStyle name="Neutral 2" xfId="554"/>
    <cellStyle name="Neutral 2 2" xfId="555"/>
    <cellStyle name="Neutral 2 3" xfId="556"/>
    <cellStyle name="Neutral 2 4" xfId="557"/>
    <cellStyle name="Neutral 2 5" xfId="558"/>
    <cellStyle name="Neutral 3" xfId="559"/>
    <cellStyle name="Neutral 4" xfId="560"/>
    <cellStyle name="Neutral 4 2" xfId="561"/>
    <cellStyle name="Neutral 5" xfId="562"/>
    <cellStyle name="Neutral 6" xfId="563"/>
    <cellStyle name="Neutral 7" xfId="564"/>
    <cellStyle name="Normal 10" xfId="565"/>
    <cellStyle name="Normal 10 2" xfId="566"/>
    <cellStyle name="Normal 11" xfId="567"/>
    <cellStyle name="Normal 11 2" xfId="568"/>
    <cellStyle name="Normal 11 2 2" xfId="569"/>
    <cellStyle name="Normal 11 3" xfId="570"/>
    <cellStyle name="Normal 11 3 2" xfId="571"/>
    <cellStyle name="Normal 11_GAZI-2010" xfId="572"/>
    <cellStyle name="Normal 12" xfId="573"/>
    <cellStyle name="Normal 12 2" xfId="574"/>
    <cellStyle name="Normal 12 2 2" xfId="575"/>
    <cellStyle name="Normal 12_gazis gare qseli" xfId="576"/>
    <cellStyle name="Normal 13" xfId="577"/>
    <cellStyle name="Normal 13 2" xfId="578"/>
    <cellStyle name="Normal 13 2 3" xfId="579"/>
    <cellStyle name="Normal 13 3" xfId="580"/>
    <cellStyle name="Normal 13 3 2" xfId="581"/>
    <cellStyle name="Normal 13 3 2 2" xfId="582"/>
    <cellStyle name="Normal 13 4" xfId="583"/>
    <cellStyle name="Normal 13 4 2" xfId="584"/>
    <cellStyle name="Normal 13 5" xfId="585"/>
    <cellStyle name="Normal 13_GAZI-2010" xfId="586"/>
    <cellStyle name="Normal 14" xfId="587"/>
    <cellStyle name="Normal 14 2" xfId="588"/>
    <cellStyle name="Normal 14 3" xfId="589"/>
    <cellStyle name="Normal 14 3 2" xfId="590"/>
    <cellStyle name="Normal 14 4" xfId="591"/>
    <cellStyle name="Normal 14 4 2" xfId="592"/>
    <cellStyle name="Normal 14 5" xfId="593"/>
    <cellStyle name="Normal 14 5 2" xfId="594"/>
    <cellStyle name="Normal 14_anakia II etapi.xls sm. defeqturi" xfId="595"/>
    <cellStyle name="Normal 15" xfId="596"/>
    <cellStyle name="Normal 15 2" xfId="597"/>
    <cellStyle name="Normal 16" xfId="598"/>
    <cellStyle name="Normal 16 2" xfId="599"/>
    <cellStyle name="Normal 16 3" xfId="600"/>
    <cellStyle name="Normal 16 3 2" xfId="601"/>
    <cellStyle name="Normal 16 4" xfId="602"/>
    <cellStyle name="Normal 16_axalq.skola" xfId="603"/>
    <cellStyle name="Normal 17" xfId="604"/>
    <cellStyle name="Normal 17 2" xfId="605"/>
    <cellStyle name="Normal 18" xfId="606"/>
    <cellStyle name="Normal 19" xfId="607"/>
    <cellStyle name="Normal 2" xfId="608"/>
    <cellStyle name="Normal 2 10" xfId="609"/>
    <cellStyle name="Normal 2 2" xfId="610"/>
    <cellStyle name="Normal 2 2 2" xfId="611"/>
    <cellStyle name="Normal 2 2 3" xfId="612"/>
    <cellStyle name="Normal 2 2 4" xfId="613"/>
    <cellStyle name="Normal 2 2 5" xfId="614"/>
    <cellStyle name="Normal 2 2 6" xfId="615"/>
    <cellStyle name="Normal 2 2 7" xfId="616"/>
    <cellStyle name="Normal 2 2_2D4CD000" xfId="617"/>
    <cellStyle name="Normal 2 3" xfId="618"/>
    <cellStyle name="Normal 2 3 2" xfId="619"/>
    <cellStyle name="Normal 2 3 2 2" xfId="620"/>
    <cellStyle name="Normal 2 3 3" xfId="621"/>
    <cellStyle name="Normal 2 3 4" xfId="622"/>
    <cellStyle name="Normal 2 4" xfId="623"/>
    <cellStyle name="Normal 2 5" xfId="624"/>
    <cellStyle name="Normal 2 6" xfId="625"/>
    <cellStyle name="Normal 2 7" xfId="626"/>
    <cellStyle name="Normal 2 7 2" xfId="627"/>
    <cellStyle name="Normal 2 7 3" xfId="628"/>
    <cellStyle name="Normal 2 7_anakia II etapi.xls sm. defeqturi" xfId="629"/>
    <cellStyle name="Normal 2 8" xfId="630"/>
    <cellStyle name="Normal 2 9" xfId="631"/>
    <cellStyle name="Normal 2_anakia II etapi.xls sm. defeqturi" xfId="632"/>
    <cellStyle name="Normal 20" xfId="633"/>
    <cellStyle name="Normal 21" xfId="634"/>
    <cellStyle name="Normal 21 2" xfId="635"/>
    <cellStyle name="Normal 22" xfId="636"/>
    <cellStyle name="Normal 22 2" xfId="637"/>
    <cellStyle name="Normal 23" xfId="638"/>
    <cellStyle name="Normal 23 2" xfId="639"/>
    <cellStyle name="Normal 24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3" xfId="647"/>
    <cellStyle name="Normal 3 2" xfId="648"/>
    <cellStyle name="Normal 3 2 2" xfId="649"/>
    <cellStyle name="Normal 3 2_anakia II etapi.xls sm. defeqturi" xfId="650"/>
    <cellStyle name="Normal 30" xfId="651"/>
    <cellStyle name="Normal 30 2" xfId="652"/>
    <cellStyle name="Normal 31" xfId="653"/>
    <cellStyle name="Normal 32" xfId="654"/>
    <cellStyle name="Normal 32 2" xfId="655"/>
    <cellStyle name="Normal 32 3" xfId="656"/>
    <cellStyle name="Normal 32 3 2" xfId="657"/>
    <cellStyle name="Normal 33" xfId="658"/>
    <cellStyle name="Normal 33 2" xfId="659"/>
    <cellStyle name="Normal 34" xfId="660"/>
    <cellStyle name="Normal 35" xfId="661"/>
    <cellStyle name="Normal 35 2" xfId="662"/>
    <cellStyle name="Normal 35 3" xfId="663"/>
    <cellStyle name="Normal 36" xfId="664"/>
    <cellStyle name="Normal 36 2" xfId="665"/>
    <cellStyle name="Normal 36 2 2" xfId="666"/>
    <cellStyle name="Normal 36 3" xfId="667"/>
    <cellStyle name="Normal 37" xfId="668"/>
    <cellStyle name="Normal 38" xfId="669"/>
    <cellStyle name="Normal 38 2" xfId="670"/>
    <cellStyle name="Normal 38 2 2" xfId="671"/>
    <cellStyle name="Normal 38 3" xfId="672"/>
    <cellStyle name="Normal 39" xfId="673"/>
    <cellStyle name="Normal 4" xfId="674"/>
    <cellStyle name="Normal 4 2" xfId="675"/>
    <cellStyle name="Normal 40" xfId="676"/>
    <cellStyle name="Normal 40 2" xfId="677"/>
    <cellStyle name="Normal 41" xfId="678"/>
    <cellStyle name="Normal 5" xfId="679"/>
    <cellStyle name="Normal 5 2" xfId="680"/>
    <cellStyle name="Normal 5 2 2" xfId="681"/>
    <cellStyle name="Normal 5 2 3" xfId="682"/>
    <cellStyle name="Normal 5 3" xfId="683"/>
    <cellStyle name="Normal 5 3 2" xfId="684"/>
    <cellStyle name="Normal 5 4" xfId="685"/>
    <cellStyle name="Normal 5 4 2" xfId="686"/>
    <cellStyle name="Normal 5 4 2 2" xfId="687"/>
    <cellStyle name="Normal 5_Copy of SAN2010" xfId="688"/>
    <cellStyle name="Normal 50" xfId="689"/>
    <cellStyle name="Normal 6" xfId="690"/>
    <cellStyle name="Normal 6 2" xfId="691"/>
    <cellStyle name="Normal 6 2 2" xfId="692"/>
    <cellStyle name="Normal 6 3" xfId="693"/>
    <cellStyle name="Normal 7" xfId="694"/>
    <cellStyle name="Normal 8" xfId="695"/>
    <cellStyle name="Normal 8 2" xfId="696"/>
    <cellStyle name="Normal 8_2D4CD000" xfId="697"/>
    <cellStyle name="Normal 9" xfId="698"/>
    <cellStyle name="Normal 9 2" xfId="699"/>
    <cellStyle name="Normal 9 2 2" xfId="700"/>
    <cellStyle name="Normal 9 2 3" xfId="701"/>
    <cellStyle name="Normal 9 2 4" xfId="702"/>
    <cellStyle name="Normal 9 2_anakia II etapi.xls sm. defeqturi" xfId="703"/>
    <cellStyle name="Normal 9 3" xfId="704"/>
    <cellStyle name="Normal 9_2D4CD000" xfId="705"/>
    <cellStyle name="Normal_#10 saxli, samxedro kalaki(1). 30.03.2010.-Final+++" xfId="706"/>
    <cellStyle name="Normal_gare wyalsadfenigagarini 2 2" xfId="707"/>
    <cellStyle name="Normal_McxeTa BOQ - File. 17.05.2010" xfId="708"/>
    <cellStyle name="Note" xfId="709"/>
    <cellStyle name="Note 2" xfId="710"/>
    <cellStyle name="Note 2 2" xfId="711"/>
    <cellStyle name="Note 2 3" xfId="712"/>
    <cellStyle name="Note 2 4" xfId="713"/>
    <cellStyle name="Note 2 5" xfId="714"/>
    <cellStyle name="Note 2_anakia II etapi.xls sm. defeqturi" xfId="715"/>
    <cellStyle name="Note 3" xfId="716"/>
    <cellStyle name="Note 4" xfId="717"/>
    <cellStyle name="Note 4 2" xfId="718"/>
    <cellStyle name="Note 4_anakia II etapi.xls sm. defeqturi" xfId="719"/>
    <cellStyle name="Note 5" xfId="720"/>
    <cellStyle name="Note 6" xfId="721"/>
    <cellStyle name="Note 7" xfId="722"/>
    <cellStyle name="Output" xfId="723"/>
    <cellStyle name="Output 2" xfId="724"/>
    <cellStyle name="Output 2 2" xfId="725"/>
    <cellStyle name="Output 2 3" xfId="726"/>
    <cellStyle name="Output 2 4" xfId="727"/>
    <cellStyle name="Output 2 5" xfId="728"/>
    <cellStyle name="Output 2_anakia II etapi.xls sm. defeqturi" xfId="729"/>
    <cellStyle name="Output 3" xfId="730"/>
    <cellStyle name="Output 4" xfId="731"/>
    <cellStyle name="Output 4 2" xfId="732"/>
    <cellStyle name="Output 4_anakia II etapi.xls sm. defeqturi" xfId="733"/>
    <cellStyle name="Output 5" xfId="734"/>
    <cellStyle name="Output 6" xfId="735"/>
    <cellStyle name="Output 7" xfId="736"/>
    <cellStyle name="Pealkiri" xfId="737"/>
    <cellStyle name="Pealkiri 1" xfId="738"/>
    <cellStyle name="Pealkiri 2" xfId="739"/>
    <cellStyle name="Pealkiri 3" xfId="740"/>
    <cellStyle name="Pealkiri 4" xfId="741"/>
    <cellStyle name="Percent" xfId="742"/>
    <cellStyle name="Percent 2" xfId="743"/>
    <cellStyle name="Percent 3" xfId="744"/>
    <cellStyle name="Percent 3 2" xfId="745"/>
    <cellStyle name="Percent 4" xfId="746"/>
    <cellStyle name="Percent 5" xfId="747"/>
    <cellStyle name="Rõhk1" xfId="748"/>
    <cellStyle name="Rõhk2" xfId="749"/>
    <cellStyle name="Rõhk3" xfId="750"/>
    <cellStyle name="Rõhk4" xfId="751"/>
    <cellStyle name="Rõhk5" xfId="752"/>
    <cellStyle name="Rõhk6" xfId="753"/>
    <cellStyle name="Selgitav tekst" xfId="754"/>
    <cellStyle name="Sisestus" xfId="755"/>
    <cellStyle name="Style 1" xfId="756"/>
    <cellStyle name="Title" xfId="757"/>
    <cellStyle name="Title 2" xfId="758"/>
    <cellStyle name="Title 2 2" xfId="759"/>
    <cellStyle name="Title 2 3" xfId="760"/>
    <cellStyle name="Title 2 4" xfId="761"/>
    <cellStyle name="Title 2 5" xfId="762"/>
    <cellStyle name="Title 3" xfId="763"/>
    <cellStyle name="Title 4" xfId="764"/>
    <cellStyle name="Title 4 2" xfId="765"/>
    <cellStyle name="Title 5" xfId="766"/>
    <cellStyle name="Title 6" xfId="767"/>
    <cellStyle name="Title 7" xfId="768"/>
    <cellStyle name="Total" xfId="769"/>
    <cellStyle name="Total 2" xfId="770"/>
    <cellStyle name="Total 2 2" xfId="771"/>
    <cellStyle name="Total 2 3" xfId="772"/>
    <cellStyle name="Total 2 4" xfId="773"/>
    <cellStyle name="Total 2 5" xfId="774"/>
    <cellStyle name="Total 2_anakia II etapi.xls sm. defeqturi" xfId="775"/>
    <cellStyle name="Total 3" xfId="776"/>
    <cellStyle name="Total 4" xfId="777"/>
    <cellStyle name="Total 4 2" xfId="778"/>
    <cellStyle name="Total 4_anakia II etapi.xls sm. defeqturi" xfId="779"/>
    <cellStyle name="Total 5" xfId="780"/>
    <cellStyle name="Total 6" xfId="781"/>
    <cellStyle name="Total 7" xfId="782"/>
    <cellStyle name="Väljund" xfId="783"/>
    <cellStyle name="Warning Text" xfId="784"/>
    <cellStyle name="Warning Text 2" xfId="785"/>
    <cellStyle name="Warning Text 2 2" xfId="786"/>
    <cellStyle name="Warning Text 2 3" xfId="787"/>
    <cellStyle name="Warning Text 2 4" xfId="788"/>
    <cellStyle name="Warning Text 2 5" xfId="789"/>
    <cellStyle name="Warning Text 3" xfId="790"/>
    <cellStyle name="Warning Text 4" xfId="791"/>
    <cellStyle name="Warning Text 4 2" xfId="792"/>
    <cellStyle name="Warning Text 5" xfId="793"/>
    <cellStyle name="Warning Text 6" xfId="794"/>
    <cellStyle name="Warning Text 7" xfId="795"/>
    <cellStyle name="Акцент1" xfId="796"/>
    <cellStyle name="Акцент2" xfId="797"/>
    <cellStyle name="Акцент3" xfId="798"/>
    <cellStyle name="Акцент4" xfId="799"/>
    <cellStyle name="Акцент5" xfId="800"/>
    <cellStyle name="Акцент6" xfId="801"/>
    <cellStyle name="Ввод " xfId="802"/>
    <cellStyle name="Вывод" xfId="803"/>
    <cellStyle name="Вычисление" xfId="804"/>
    <cellStyle name="Заголовок 1" xfId="805"/>
    <cellStyle name="Заголовок 2" xfId="806"/>
    <cellStyle name="Заголовок 3" xfId="807"/>
    <cellStyle name="Заголовок 4" xfId="808"/>
    <cellStyle name="Итог" xfId="809"/>
    <cellStyle name="Контрольная ячейка" xfId="810"/>
    <cellStyle name="Название" xfId="811"/>
    <cellStyle name="Нейтральный" xfId="812"/>
    <cellStyle name="Обычный 10" xfId="813"/>
    <cellStyle name="Обычный 2" xfId="814"/>
    <cellStyle name="Обычный 2 2" xfId="815"/>
    <cellStyle name="Обычный 3" xfId="816"/>
    <cellStyle name="Обычный 3 2" xfId="817"/>
    <cellStyle name="Обычный 4" xfId="818"/>
    <cellStyle name="Обычный 4 2" xfId="819"/>
    <cellStyle name="Обычный 4 3" xfId="820"/>
    <cellStyle name="Обычный 5" xfId="821"/>
    <cellStyle name="Обычный 5 2" xfId="822"/>
    <cellStyle name="Обычный 5 2 2" xfId="823"/>
    <cellStyle name="Обычный 5 3" xfId="824"/>
    <cellStyle name="Обычный 6" xfId="825"/>
    <cellStyle name="Обычный 7" xfId="826"/>
    <cellStyle name="Обычный 7 2" xfId="827"/>
    <cellStyle name="Обычный 8" xfId="828"/>
    <cellStyle name="Обычный 9" xfId="829"/>
    <cellStyle name="Обычный_2338-2339" xfId="830"/>
    <cellStyle name="Обычный_Лист1" xfId="831"/>
    <cellStyle name="Плохой" xfId="832"/>
    <cellStyle name="Пояснение" xfId="833"/>
    <cellStyle name="Примечание" xfId="834"/>
    <cellStyle name="Процентный 2" xfId="835"/>
    <cellStyle name="Процентный 3" xfId="836"/>
    <cellStyle name="Процентный 3 2" xfId="837"/>
    <cellStyle name="Связанная ячейка" xfId="838"/>
    <cellStyle name="Стиль 1" xfId="839"/>
    <cellStyle name="Текст предупреждения" xfId="840"/>
    <cellStyle name="Финансовый 2" xfId="841"/>
    <cellStyle name="Финансовый 3" xfId="842"/>
    <cellStyle name="Хороший" xfId="8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02\Home$\rkurbanov\Downloads\gldanis%20bagi\Tejola%20base.%20Final%20From%20Oqro\Terjola%20Base%20-%201.%20Administraciuli.16.11.2015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ურცელ"/>
      <sheetName val="განმ.ბარათი"/>
      <sheetName val="კრებსიტი"/>
      <sheetName val="სადემონტაჟო"/>
      <sheetName val="სამშენ-მოსაპირკეთ."/>
      <sheetName val="El-sam."/>
      <sheetName val="susti denebi "/>
      <sheetName val="W.C."/>
      <sheetName val="HVAC"/>
      <sheetName val="Vid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2" width="9.140625" style="2" customWidth="1"/>
    <col min="3" max="3" width="9.421875" style="2" customWidth="1"/>
    <col min="4" max="4" width="9.140625" style="2" customWidth="1"/>
    <col min="5" max="5" width="9.00390625" style="2" customWidth="1"/>
    <col min="6" max="13" width="9.140625" style="2" customWidth="1"/>
    <col min="14" max="14" width="13.28125" style="2" customWidth="1"/>
    <col min="15" max="16" width="9.140625" style="2" customWidth="1"/>
    <col min="17" max="17" width="69.7109375" style="2" customWidth="1"/>
    <col min="18" max="16384" width="9.140625" style="2" customWidth="1"/>
  </cols>
  <sheetData>
    <row r="1" spans="1:14" ht="21" customHeight="1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8" spans="1:14" ht="22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7" ht="72" customHeight="1">
      <c r="A9" s="658" t="s">
        <v>175</v>
      </c>
      <c r="B9" s="658"/>
      <c r="C9" s="65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Q9" s="6"/>
    </row>
    <row r="10" ht="12" customHeight="1"/>
    <row r="11" spans="1:14" ht="22.5">
      <c r="A11" s="661" t="s">
        <v>35</v>
      </c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</row>
    <row r="12" ht="12" customHeight="1"/>
    <row r="13" spans="1:14" ht="22.5">
      <c r="A13" s="659"/>
      <c r="B13" s="659"/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M13" s="659"/>
      <c r="N13" s="659"/>
    </row>
    <row r="14" spans="1:14" ht="22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26" ht="15.75">
      <c r="I26" s="2" t="s">
        <v>18</v>
      </c>
    </row>
    <row r="29" spans="1:14" ht="18" customHeight="1">
      <c r="A29" s="660" t="s">
        <v>41</v>
      </c>
      <c r="B29" s="660"/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</row>
    <row r="32" ht="15.75">
      <c r="D32" s="2" t="s">
        <v>17</v>
      </c>
    </row>
  </sheetData>
  <sheetProtection/>
  <mergeCells count="5">
    <mergeCell ref="A1:N1"/>
    <mergeCell ref="A9:N9"/>
    <mergeCell ref="A13:N13"/>
    <mergeCell ref="A29:N29"/>
    <mergeCell ref="A11:N11"/>
  </mergeCells>
  <printOptions horizontalCentered="1"/>
  <pageMargins left="0.11811023622047245" right="0.11811023622047245" top="0.5511811023622047" bottom="0.2755905511811024" header="0.4330708661417323" footer="0.11811023622047245"/>
  <pageSetup cellComments="asDisplayed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621"/>
  <sheetViews>
    <sheetView zoomScale="70" zoomScaleNormal="70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3.8515625" style="313" customWidth="1"/>
    <col min="2" max="2" width="10.57421875" style="542" customWidth="1"/>
    <col min="3" max="3" width="54.7109375" style="319" customWidth="1"/>
    <col min="4" max="4" width="7.8515625" style="550" customWidth="1"/>
    <col min="5" max="5" width="8.7109375" style="333" customWidth="1"/>
    <col min="6" max="7" width="9.28125" style="524" customWidth="1"/>
    <col min="8" max="8" width="9.421875" style="524" customWidth="1"/>
    <col min="9" max="9" width="11.57421875" style="524" bestFit="1" customWidth="1"/>
    <col min="10" max="10" width="8.7109375" style="525" customWidth="1"/>
    <col min="11" max="11" width="11.00390625" style="524" customWidth="1"/>
    <col min="12" max="12" width="7.8515625" style="525" customWidth="1"/>
    <col min="13" max="13" width="9.7109375" style="524" customWidth="1"/>
    <col min="14" max="14" width="11.7109375" style="524" bestFit="1" customWidth="1"/>
    <col min="15" max="15" width="19.8515625" style="319" customWidth="1"/>
    <col min="16" max="16" width="12.8515625" style="319" customWidth="1"/>
    <col min="17" max="17" width="31.421875" style="319" customWidth="1"/>
    <col min="18" max="16384" width="9.140625" style="319" customWidth="1"/>
  </cols>
  <sheetData>
    <row r="1" spans="1:14" s="255" customFormat="1" ht="42" customHeight="1">
      <c r="A1" s="686" t="str">
        <f>კრებსიტი!A1</f>
        <v>საბავშვო ბაღის აშენების პროექტი სოფელ იორმუღანლოში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</row>
    <row r="2" spans="1:14" s="255" customFormat="1" ht="9" customHeight="1">
      <c r="A2" s="256"/>
      <c r="B2" s="535"/>
      <c r="C2" s="257"/>
      <c r="D2" s="543"/>
      <c r="E2" s="323"/>
      <c r="F2" s="512"/>
      <c r="G2" s="512"/>
      <c r="H2" s="512"/>
      <c r="I2" s="512"/>
      <c r="J2" s="512"/>
      <c r="K2" s="512"/>
      <c r="L2" s="512"/>
      <c r="M2" s="512"/>
      <c r="N2" s="512"/>
    </row>
    <row r="3" spans="1:14" s="266" customFormat="1" ht="19.5" customHeight="1">
      <c r="A3" s="681" t="s">
        <v>624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</row>
    <row r="4" spans="1:14" s="266" customFormat="1" ht="9" customHeight="1">
      <c r="A4" s="267"/>
      <c r="B4" s="536"/>
      <c r="C4" s="268"/>
      <c r="D4" s="544"/>
      <c r="E4" s="324"/>
      <c r="F4" s="513"/>
      <c r="G4" s="513"/>
      <c r="H4" s="513"/>
      <c r="I4" s="513"/>
      <c r="J4" s="513"/>
      <c r="K4" s="513"/>
      <c r="L4" s="513"/>
      <c r="M4" s="513"/>
      <c r="N4" s="513"/>
    </row>
    <row r="5" spans="1:14" s="269" customFormat="1" ht="18.75" customHeight="1">
      <c r="A5" s="682" t="s">
        <v>552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</row>
    <row r="6" spans="1:14" s="266" customFormat="1" ht="14.25" customHeight="1" thickBot="1">
      <c r="A6" s="270"/>
      <c r="B6" s="537"/>
      <c r="C6" s="271"/>
      <c r="D6" s="545"/>
      <c r="E6" s="325"/>
      <c r="F6" s="514"/>
      <c r="G6" s="514"/>
      <c r="H6" s="514"/>
      <c r="I6" s="514"/>
      <c r="J6" s="515"/>
      <c r="K6" s="514"/>
      <c r="L6" s="515"/>
      <c r="M6" s="514"/>
      <c r="N6" s="514"/>
    </row>
    <row r="7" spans="1:14" s="258" customFormat="1" ht="36" customHeight="1" thickBot="1" thickTop="1">
      <c r="A7" s="687" t="s">
        <v>0</v>
      </c>
      <c r="B7" s="688" t="s">
        <v>49</v>
      </c>
      <c r="C7" s="685" t="s">
        <v>50</v>
      </c>
      <c r="D7" s="687" t="s">
        <v>51</v>
      </c>
      <c r="E7" s="688" t="s">
        <v>52</v>
      </c>
      <c r="F7" s="691" t="s">
        <v>53</v>
      </c>
      <c r="G7" s="636" t="s">
        <v>853</v>
      </c>
      <c r="H7" s="685" t="s">
        <v>54</v>
      </c>
      <c r="I7" s="685"/>
      <c r="J7" s="685" t="s">
        <v>55</v>
      </c>
      <c r="K7" s="685"/>
      <c r="L7" s="685" t="s">
        <v>56</v>
      </c>
      <c r="M7" s="685"/>
      <c r="N7" s="685" t="s">
        <v>57</v>
      </c>
    </row>
    <row r="8" spans="1:15" s="258" customFormat="1" ht="36" customHeight="1" thickBot="1" thickTop="1">
      <c r="A8" s="687"/>
      <c r="B8" s="688"/>
      <c r="C8" s="685"/>
      <c r="D8" s="687"/>
      <c r="E8" s="688"/>
      <c r="F8" s="691"/>
      <c r="G8" s="636" t="s">
        <v>858</v>
      </c>
      <c r="H8" s="274" t="s">
        <v>58</v>
      </c>
      <c r="I8" s="511" t="s">
        <v>59</v>
      </c>
      <c r="J8" s="274" t="s">
        <v>58</v>
      </c>
      <c r="K8" s="511" t="s">
        <v>59</v>
      </c>
      <c r="L8" s="274" t="s">
        <v>58</v>
      </c>
      <c r="M8" s="511" t="s">
        <v>59</v>
      </c>
      <c r="N8" s="685"/>
      <c r="O8" s="259"/>
    </row>
    <row r="9" spans="1:14" s="265" customFormat="1" ht="14.25" customHeight="1" thickBot="1" thickTop="1">
      <c r="A9" s="260">
        <v>1</v>
      </c>
      <c r="B9" s="92">
        <v>2</v>
      </c>
      <c r="C9" s="261">
        <v>3</v>
      </c>
      <c r="D9" s="35">
        <v>4</v>
      </c>
      <c r="E9" s="326">
        <v>5</v>
      </c>
      <c r="F9" s="526">
        <v>6</v>
      </c>
      <c r="G9" s="526"/>
      <c r="H9" s="37">
        <v>7</v>
      </c>
      <c r="I9" s="37">
        <v>8</v>
      </c>
      <c r="J9" s="37">
        <v>9</v>
      </c>
      <c r="K9" s="37">
        <v>10</v>
      </c>
      <c r="L9" s="37">
        <v>11</v>
      </c>
      <c r="M9" s="37">
        <v>12</v>
      </c>
      <c r="N9" s="37">
        <v>13</v>
      </c>
    </row>
    <row r="10" spans="1:16" s="283" customFormat="1" ht="18" customHeight="1" thickTop="1">
      <c r="A10" s="276"/>
      <c r="B10" s="93"/>
      <c r="C10" s="277" t="s">
        <v>598</v>
      </c>
      <c r="D10" s="40"/>
      <c r="E10" s="327"/>
      <c r="F10" s="42"/>
      <c r="G10" s="42"/>
      <c r="H10" s="43"/>
      <c r="I10" s="44"/>
      <c r="J10" s="44"/>
      <c r="K10" s="516"/>
      <c r="L10" s="44"/>
      <c r="M10" s="44"/>
      <c r="N10" s="44"/>
      <c r="P10" s="284"/>
    </row>
    <row r="11" spans="1:17" s="289" customFormat="1" ht="18" customHeight="1">
      <c r="A11" s="285"/>
      <c r="B11" s="538"/>
      <c r="C11" s="463" t="s">
        <v>595</v>
      </c>
      <c r="D11" s="546" t="s">
        <v>791</v>
      </c>
      <c r="E11" s="84"/>
      <c r="F11" s="527"/>
      <c r="G11" s="646"/>
      <c r="H11" s="83"/>
      <c r="I11" s="84"/>
      <c r="J11" s="83"/>
      <c r="K11" s="84"/>
      <c r="L11" s="83"/>
      <c r="M11" s="84"/>
      <c r="N11" s="84"/>
      <c r="O11" s="286"/>
      <c r="P11" s="287"/>
      <c r="Q11" s="288"/>
    </row>
    <row r="12" spans="1:17" s="292" customFormat="1" ht="36" customHeight="1">
      <c r="A12" s="285"/>
      <c r="B12" s="539"/>
      <c r="C12" s="464" t="s">
        <v>596</v>
      </c>
      <c r="D12" s="546" t="s">
        <v>791</v>
      </c>
      <c r="E12" s="84"/>
      <c r="F12" s="527"/>
      <c r="G12" s="646"/>
      <c r="H12" s="84"/>
      <c r="I12" s="84"/>
      <c r="J12" s="83"/>
      <c r="K12" s="84"/>
      <c r="L12" s="83"/>
      <c r="M12" s="84"/>
      <c r="N12" s="84"/>
      <c r="O12" s="290"/>
      <c r="P12" s="291"/>
      <c r="Q12" s="268"/>
    </row>
    <row r="13" spans="1:17" s="292" customFormat="1" ht="36" customHeight="1">
      <c r="A13" s="285"/>
      <c r="B13" s="539"/>
      <c r="C13" s="464" t="s">
        <v>619</v>
      </c>
      <c r="D13" s="538" t="s">
        <v>105</v>
      </c>
      <c r="E13" s="84"/>
      <c r="F13" s="528"/>
      <c r="G13" s="646"/>
      <c r="H13" s="242"/>
      <c r="I13" s="84"/>
      <c r="J13" s="83"/>
      <c r="K13" s="84"/>
      <c r="L13" s="83"/>
      <c r="M13" s="84"/>
      <c r="N13" s="84"/>
      <c r="O13" s="295"/>
      <c r="P13" s="268"/>
      <c r="Q13" s="268"/>
    </row>
    <row r="14" spans="1:17" s="292" customFormat="1" ht="54" customHeight="1">
      <c r="A14" s="285"/>
      <c r="B14" s="538"/>
      <c r="C14" s="464" t="s">
        <v>789</v>
      </c>
      <c r="D14" s="546" t="s">
        <v>791</v>
      </c>
      <c r="E14" s="84"/>
      <c r="F14" s="528"/>
      <c r="G14" s="646"/>
      <c r="H14" s="84"/>
      <c r="I14" s="84"/>
      <c r="J14" s="83"/>
      <c r="K14" s="84"/>
      <c r="L14" s="83"/>
      <c r="M14" s="84"/>
      <c r="N14" s="84"/>
      <c r="O14" s="295"/>
      <c r="P14" s="268"/>
      <c r="Q14" s="268"/>
    </row>
    <row r="15" spans="1:17" s="292" customFormat="1" ht="15.75">
      <c r="A15" s="285"/>
      <c r="B15" s="539"/>
      <c r="C15" s="457" t="s">
        <v>597</v>
      </c>
      <c r="D15" s="546" t="s">
        <v>791</v>
      </c>
      <c r="E15" s="84"/>
      <c r="F15" s="528"/>
      <c r="G15" s="646"/>
      <c r="H15" s="84"/>
      <c r="I15" s="84"/>
      <c r="J15" s="83"/>
      <c r="K15" s="84"/>
      <c r="L15" s="83"/>
      <c r="M15" s="84"/>
      <c r="N15" s="84"/>
      <c r="O15" s="296"/>
      <c r="P15" s="291"/>
      <c r="Q15" s="268"/>
    </row>
    <row r="16" spans="1:17" s="289" customFormat="1" ht="15.75">
      <c r="A16" s="285"/>
      <c r="B16" s="538"/>
      <c r="C16" s="457" t="s">
        <v>618</v>
      </c>
      <c r="D16" s="546" t="s">
        <v>791</v>
      </c>
      <c r="E16" s="84"/>
      <c r="F16" s="529"/>
      <c r="G16" s="647"/>
      <c r="H16" s="84"/>
      <c r="I16" s="84"/>
      <c r="J16" s="83"/>
      <c r="K16" s="84"/>
      <c r="L16" s="83"/>
      <c r="M16" s="84"/>
      <c r="N16" s="84"/>
      <c r="O16" s="286"/>
      <c r="P16" s="287"/>
      <c r="Q16" s="288"/>
    </row>
    <row r="17" spans="1:17" s="292" customFormat="1" ht="36" customHeight="1">
      <c r="A17" s="285"/>
      <c r="B17" s="538"/>
      <c r="C17" s="465" t="s">
        <v>620</v>
      </c>
      <c r="D17" s="547" t="s">
        <v>535</v>
      </c>
      <c r="E17" s="84"/>
      <c r="F17" s="530"/>
      <c r="G17" s="648"/>
      <c r="H17" s="84"/>
      <c r="I17" s="84"/>
      <c r="J17" s="83"/>
      <c r="K17" s="84"/>
      <c r="L17" s="83"/>
      <c r="M17" s="84"/>
      <c r="N17" s="84"/>
      <c r="O17" s="296"/>
      <c r="P17" s="291"/>
      <c r="Q17" s="268"/>
    </row>
    <row r="18" spans="1:17" s="292" customFormat="1" ht="15.75">
      <c r="A18" s="285"/>
      <c r="B18" s="538"/>
      <c r="C18" s="465" t="s">
        <v>787</v>
      </c>
      <c r="D18" s="547" t="s">
        <v>138</v>
      </c>
      <c r="E18" s="84"/>
      <c r="F18" s="530"/>
      <c r="G18" s="648"/>
      <c r="H18" s="242"/>
      <c r="I18" s="84"/>
      <c r="J18" s="83"/>
      <c r="K18" s="84"/>
      <c r="L18" s="83"/>
      <c r="M18" s="84"/>
      <c r="N18" s="84"/>
      <c r="O18" s="295"/>
      <c r="P18" s="268"/>
      <c r="Q18" s="268"/>
    </row>
    <row r="19" spans="1:17" s="292" customFormat="1" ht="15.75">
      <c r="A19" s="285"/>
      <c r="B19" s="538"/>
      <c r="C19" s="466" t="s">
        <v>788</v>
      </c>
      <c r="D19" s="546" t="s">
        <v>791</v>
      </c>
      <c r="E19" s="84"/>
      <c r="F19" s="531"/>
      <c r="G19" s="531"/>
      <c r="H19" s="83"/>
      <c r="I19" s="84"/>
      <c r="J19" s="83"/>
      <c r="K19" s="84"/>
      <c r="L19" s="83"/>
      <c r="M19" s="84"/>
      <c r="N19" s="84"/>
      <c r="O19" s="295"/>
      <c r="P19" s="268"/>
      <c r="Q19" s="268"/>
    </row>
    <row r="20" spans="1:14" s="307" customFormat="1" ht="33.75" customHeight="1">
      <c r="A20" s="314"/>
      <c r="B20" s="540"/>
      <c r="C20" s="508" t="s">
        <v>792</v>
      </c>
      <c r="D20" s="123"/>
      <c r="E20" s="242"/>
      <c r="F20" s="532"/>
      <c r="G20" s="649"/>
      <c r="H20" s="242"/>
      <c r="I20" s="242"/>
      <c r="J20" s="241"/>
      <c r="K20" s="242"/>
      <c r="L20" s="241"/>
      <c r="M20" s="242"/>
      <c r="N20" s="242"/>
    </row>
    <row r="21" spans="1:17" s="306" customFormat="1" ht="33.75" customHeight="1">
      <c r="A21" s="304"/>
      <c r="B21" s="541"/>
      <c r="C21" s="508" t="s">
        <v>793</v>
      </c>
      <c r="D21" s="123"/>
      <c r="E21" s="242"/>
      <c r="F21" s="532"/>
      <c r="G21" s="649"/>
      <c r="H21" s="242"/>
      <c r="I21" s="242"/>
      <c r="J21" s="241"/>
      <c r="K21" s="242"/>
      <c r="L21" s="241"/>
      <c r="M21" s="242"/>
      <c r="N21" s="242"/>
      <c r="O21" s="509"/>
      <c r="P21" s="510"/>
      <c r="Q21" s="305"/>
    </row>
    <row r="22" spans="1:16" s="283" customFormat="1" ht="18" customHeight="1">
      <c r="A22" s="276"/>
      <c r="B22" s="93"/>
      <c r="C22" s="277" t="s">
        <v>599</v>
      </c>
      <c r="D22" s="40"/>
      <c r="E22" s="327"/>
      <c r="F22" s="533"/>
      <c r="G22" s="533"/>
      <c r="H22" s="43"/>
      <c r="I22" s="44"/>
      <c r="J22" s="44"/>
      <c r="K22" s="516"/>
      <c r="L22" s="44"/>
      <c r="M22" s="44"/>
      <c r="N22" s="44"/>
      <c r="P22" s="284"/>
    </row>
    <row r="23" spans="1:17" s="292" customFormat="1" ht="18" customHeight="1">
      <c r="A23" s="285"/>
      <c r="B23" s="538"/>
      <c r="C23" s="463" t="s">
        <v>595</v>
      </c>
      <c r="D23" s="538" t="s">
        <v>790</v>
      </c>
      <c r="E23" s="84"/>
      <c r="F23" s="531"/>
      <c r="G23" s="531"/>
      <c r="H23" s="83"/>
      <c r="I23" s="84"/>
      <c r="J23" s="83"/>
      <c r="K23" s="84"/>
      <c r="L23" s="83"/>
      <c r="M23" s="84"/>
      <c r="N23" s="84"/>
      <c r="O23" s="296"/>
      <c r="P23" s="291"/>
      <c r="Q23" s="268"/>
    </row>
    <row r="24" spans="1:17" s="292" customFormat="1" ht="39" customHeight="1">
      <c r="A24" s="297"/>
      <c r="B24" s="538"/>
      <c r="C24" s="456" t="s">
        <v>600</v>
      </c>
      <c r="D24" s="538" t="s">
        <v>790</v>
      </c>
      <c r="E24" s="84"/>
      <c r="F24" s="531"/>
      <c r="G24" s="650"/>
      <c r="H24" s="84"/>
      <c r="I24" s="84"/>
      <c r="J24" s="83"/>
      <c r="K24" s="84"/>
      <c r="L24" s="83"/>
      <c r="M24" s="84"/>
      <c r="N24" s="84"/>
      <c r="O24" s="296"/>
      <c r="P24" s="291"/>
      <c r="Q24" s="268"/>
    </row>
    <row r="25" spans="1:15" s="292" customFormat="1" ht="39" customHeight="1">
      <c r="A25" s="297"/>
      <c r="B25" s="538">
        <v>63</v>
      </c>
      <c r="C25" s="467" t="s">
        <v>601</v>
      </c>
      <c r="D25" s="538" t="s">
        <v>105</v>
      </c>
      <c r="E25" s="84"/>
      <c r="F25" s="531"/>
      <c r="G25" s="650"/>
      <c r="H25" s="84"/>
      <c r="I25" s="84"/>
      <c r="J25" s="83"/>
      <c r="K25" s="84"/>
      <c r="L25" s="83"/>
      <c r="M25" s="84"/>
      <c r="N25" s="84"/>
      <c r="O25" s="289"/>
    </row>
    <row r="26" spans="1:17" s="289" customFormat="1" ht="18" customHeight="1">
      <c r="A26" s="285"/>
      <c r="B26" s="538">
        <v>63</v>
      </c>
      <c r="C26" s="467" t="s">
        <v>602</v>
      </c>
      <c r="D26" s="538" t="s">
        <v>92</v>
      </c>
      <c r="E26" s="84"/>
      <c r="F26" s="531"/>
      <c r="G26" s="650"/>
      <c r="H26" s="84"/>
      <c r="I26" s="84"/>
      <c r="J26" s="83"/>
      <c r="K26" s="84"/>
      <c r="L26" s="83"/>
      <c r="M26" s="84"/>
      <c r="N26" s="84"/>
      <c r="O26" s="286"/>
      <c r="P26" s="287"/>
      <c r="Q26" s="288"/>
    </row>
    <row r="27" spans="1:17" s="292" customFormat="1" ht="39" customHeight="1">
      <c r="A27" s="285"/>
      <c r="B27" s="538">
        <v>63</v>
      </c>
      <c r="C27" s="467" t="s">
        <v>603</v>
      </c>
      <c r="D27" s="538" t="s">
        <v>92</v>
      </c>
      <c r="E27" s="84"/>
      <c r="F27" s="531"/>
      <c r="G27" s="650"/>
      <c r="H27" s="84"/>
      <c r="I27" s="84"/>
      <c r="J27" s="83"/>
      <c r="K27" s="84"/>
      <c r="L27" s="83"/>
      <c r="M27" s="84"/>
      <c r="N27" s="84"/>
      <c r="O27" s="296"/>
      <c r="P27" s="291"/>
      <c r="Q27" s="268"/>
    </row>
    <row r="28" spans="1:17" s="292" customFormat="1" ht="18" customHeight="1">
      <c r="A28" s="285"/>
      <c r="B28" s="538">
        <v>63</v>
      </c>
      <c r="C28" s="467" t="s">
        <v>604</v>
      </c>
      <c r="D28" s="538" t="s">
        <v>92</v>
      </c>
      <c r="E28" s="84"/>
      <c r="F28" s="531"/>
      <c r="G28" s="650"/>
      <c r="H28" s="84"/>
      <c r="I28" s="84"/>
      <c r="J28" s="83"/>
      <c r="K28" s="84"/>
      <c r="L28" s="83"/>
      <c r="M28" s="84"/>
      <c r="N28" s="84"/>
      <c r="O28" s="295"/>
      <c r="P28" s="268"/>
      <c r="Q28" s="268"/>
    </row>
    <row r="29" spans="1:17" s="292" customFormat="1" ht="18" customHeight="1">
      <c r="A29" s="285"/>
      <c r="B29" s="538"/>
      <c r="C29" s="456" t="s">
        <v>605</v>
      </c>
      <c r="D29" s="538" t="s">
        <v>790</v>
      </c>
      <c r="E29" s="84"/>
      <c r="F29" s="531"/>
      <c r="G29" s="650"/>
      <c r="H29" s="84"/>
      <c r="I29" s="84"/>
      <c r="J29" s="83"/>
      <c r="K29" s="84"/>
      <c r="L29" s="83"/>
      <c r="M29" s="84"/>
      <c r="N29" s="84"/>
      <c r="O29" s="295"/>
      <c r="P29" s="268"/>
      <c r="Q29" s="268"/>
    </row>
    <row r="30" spans="1:14" s="292" customFormat="1" ht="18" customHeight="1">
      <c r="A30" s="285"/>
      <c r="B30" s="538"/>
      <c r="C30" s="456" t="s">
        <v>606</v>
      </c>
      <c r="D30" s="538" t="s">
        <v>790</v>
      </c>
      <c r="E30" s="84"/>
      <c r="F30" s="531"/>
      <c r="G30" s="650"/>
      <c r="H30" s="84"/>
      <c r="I30" s="84"/>
      <c r="J30" s="83"/>
      <c r="K30" s="84"/>
      <c r="L30" s="83"/>
      <c r="M30" s="84"/>
      <c r="N30" s="84"/>
    </row>
    <row r="31" spans="1:16" s="283" customFormat="1" ht="18" customHeight="1">
      <c r="A31" s="285"/>
      <c r="B31" s="538"/>
      <c r="C31" s="467" t="s">
        <v>607</v>
      </c>
      <c r="D31" s="538" t="s">
        <v>535</v>
      </c>
      <c r="E31" s="84"/>
      <c r="F31" s="531"/>
      <c r="G31" s="650"/>
      <c r="H31" s="84"/>
      <c r="I31" s="84"/>
      <c r="J31" s="83"/>
      <c r="K31" s="84"/>
      <c r="L31" s="83"/>
      <c r="M31" s="84"/>
      <c r="N31" s="84"/>
      <c r="P31" s="284"/>
    </row>
    <row r="32" spans="1:14" s="292" customFormat="1" ht="18" customHeight="1">
      <c r="A32" s="285"/>
      <c r="B32" s="538"/>
      <c r="C32" s="467" t="s">
        <v>608</v>
      </c>
      <c r="D32" s="538" t="s">
        <v>535</v>
      </c>
      <c r="E32" s="84"/>
      <c r="F32" s="531"/>
      <c r="G32" s="650"/>
      <c r="H32" s="84"/>
      <c r="I32" s="84"/>
      <c r="J32" s="83"/>
      <c r="K32" s="84"/>
      <c r="L32" s="83"/>
      <c r="M32" s="84"/>
      <c r="N32" s="84"/>
    </row>
    <row r="33" spans="1:16" s="283" customFormat="1" ht="18" customHeight="1">
      <c r="A33" s="285"/>
      <c r="B33" s="538"/>
      <c r="C33" s="467" t="s">
        <v>609</v>
      </c>
      <c r="D33" s="538" t="s">
        <v>535</v>
      </c>
      <c r="E33" s="84"/>
      <c r="F33" s="531"/>
      <c r="G33" s="650"/>
      <c r="H33" s="43"/>
      <c r="I33" s="84"/>
      <c r="J33" s="83"/>
      <c r="K33" s="84"/>
      <c r="L33" s="83"/>
      <c r="M33" s="84"/>
      <c r="N33" s="84"/>
      <c r="P33" s="284"/>
    </row>
    <row r="34" spans="1:17" s="292" customFormat="1" ht="18" customHeight="1">
      <c r="A34" s="285"/>
      <c r="B34" s="538"/>
      <c r="C34" s="467" t="s">
        <v>610</v>
      </c>
      <c r="D34" s="538" t="s">
        <v>535</v>
      </c>
      <c r="E34" s="84"/>
      <c r="F34" s="531"/>
      <c r="G34" s="650"/>
      <c r="H34" s="84"/>
      <c r="I34" s="84"/>
      <c r="J34" s="83"/>
      <c r="K34" s="84"/>
      <c r="L34" s="83"/>
      <c r="M34" s="84"/>
      <c r="N34" s="84"/>
      <c r="O34" s="296"/>
      <c r="P34" s="291"/>
      <c r="Q34" s="268"/>
    </row>
    <row r="35" spans="1:15" s="292" customFormat="1" ht="18" customHeight="1">
      <c r="A35" s="285"/>
      <c r="B35" s="538"/>
      <c r="C35" s="467" t="s">
        <v>611</v>
      </c>
      <c r="D35" s="538" t="s">
        <v>535</v>
      </c>
      <c r="E35" s="84"/>
      <c r="F35" s="531"/>
      <c r="G35" s="650"/>
      <c r="H35" s="84"/>
      <c r="I35" s="84"/>
      <c r="J35" s="83"/>
      <c r="K35" s="84"/>
      <c r="L35" s="83"/>
      <c r="M35" s="84"/>
      <c r="N35" s="84"/>
      <c r="O35" s="289"/>
    </row>
    <row r="36" spans="1:16" s="283" customFormat="1" ht="18" customHeight="1">
      <c r="A36" s="450"/>
      <c r="B36" s="538"/>
      <c r="C36" s="467" t="s">
        <v>612</v>
      </c>
      <c r="D36" s="538" t="s">
        <v>535</v>
      </c>
      <c r="E36" s="452"/>
      <c r="F36" s="531"/>
      <c r="G36" s="650"/>
      <c r="H36" s="43"/>
      <c r="I36" s="84"/>
      <c r="J36" s="83"/>
      <c r="K36" s="84"/>
      <c r="L36" s="44"/>
      <c r="M36" s="44"/>
      <c r="N36" s="84"/>
      <c r="P36" s="284"/>
    </row>
    <row r="37" spans="1:16" s="283" customFormat="1" ht="18" customHeight="1">
      <c r="A37" s="276"/>
      <c r="B37" s="93"/>
      <c r="C37" s="277" t="s">
        <v>613</v>
      </c>
      <c r="D37" s="40"/>
      <c r="E37" s="327"/>
      <c r="F37" s="533"/>
      <c r="G37" s="533"/>
      <c r="H37" s="43"/>
      <c r="I37" s="44"/>
      <c r="J37" s="44"/>
      <c r="K37" s="516"/>
      <c r="L37" s="44"/>
      <c r="M37" s="44"/>
      <c r="N37" s="44"/>
      <c r="P37" s="284"/>
    </row>
    <row r="38" spans="1:14" s="292" customFormat="1" ht="18" customHeight="1">
      <c r="A38" s="285"/>
      <c r="B38" s="538"/>
      <c r="C38" s="463" t="s">
        <v>595</v>
      </c>
      <c r="D38" s="538" t="s">
        <v>790</v>
      </c>
      <c r="E38" s="329"/>
      <c r="F38" s="531"/>
      <c r="G38" s="531"/>
      <c r="H38" s="83"/>
      <c r="I38" s="84"/>
      <c r="J38" s="83"/>
      <c r="K38" s="84"/>
      <c r="L38" s="83"/>
      <c r="M38" s="84"/>
      <c r="N38" s="84"/>
    </row>
    <row r="39" spans="1:14" s="292" customFormat="1" ht="39" customHeight="1">
      <c r="A39" s="297"/>
      <c r="B39" s="538"/>
      <c r="C39" s="456" t="s">
        <v>600</v>
      </c>
      <c r="D39" s="538" t="s">
        <v>790</v>
      </c>
      <c r="E39" s="330"/>
      <c r="F39" s="531"/>
      <c r="G39" s="650"/>
      <c r="H39" s="84"/>
      <c r="I39" s="84"/>
      <c r="J39" s="83"/>
      <c r="K39" s="84"/>
      <c r="L39" s="83"/>
      <c r="M39" s="84"/>
      <c r="N39" s="84"/>
    </row>
    <row r="40" spans="1:14" s="292" customFormat="1" ht="39" customHeight="1">
      <c r="A40" s="297"/>
      <c r="B40" s="538">
        <v>32</v>
      </c>
      <c r="C40" s="467" t="s">
        <v>614</v>
      </c>
      <c r="D40" s="538" t="s">
        <v>105</v>
      </c>
      <c r="E40" s="301"/>
      <c r="F40" s="531"/>
      <c r="G40" s="650"/>
      <c r="H40" s="84"/>
      <c r="I40" s="84"/>
      <c r="J40" s="83"/>
      <c r="K40" s="84"/>
      <c r="L40" s="83"/>
      <c r="M40" s="84"/>
      <c r="N40" s="84"/>
    </row>
    <row r="41" spans="1:17" s="292" customFormat="1" ht="18" customHeight="1">
      <c r="A41" s="297"/>
      <c r="B41" s="538">
        <v>32</v>
      </c>
      <c r="C41" s="467" t="s">
        <v>616</v>
      </c>
      <c r="D41" s="538" t="s">
        <v>92</v>
      </c>
      <c r="E41" s="328"/>
      <c r="F41" s="531"/>
      <c r="G41" s="650"/>
      <c r="H41" s="84"/>
      <c r="I41" s="84"/>
      <c r="J41" s="83"/>
      <c r="K41" s="84"/>
      <c r="L41" s="83"/>
      <c r="M41" s="84"/>
      <c r="N41" s="84"/>
      <c r="O41" s="296"/>
      <c r="P41" s="291"/>
      <c r="Q41" s="268"/>
    </row>
    <row r="42" spans="1:15" s="292" customFormat="1" ht="18" customHeight="1">
      <c r="A42" s="297"/>
      <c r="B42" s="538" t="s">
        <v>617</v>
      </c>
      <c r="C42" s="467" t="s">
        <v>615</v>
      </c>
      <c r="D42" s="538" t="s">
        <v>92</v>
      </c>
      <c r="E42" s="301"/>
      <c r="F42" s="531"/>
      <c r="G42" s="650"/>
      <c r="H42" s="84"/>
      <c r="I42" s="84"/>
      <c r="J42" s="83"/>
      <c r="K42" s="84"/>
      <c r="L42" s="83"/>
      <c r="M42" s="84"/>
      <c r="N42" s="84"/>
      <c r="O42" s="289"/>
    </row>
    <row r="43" spans="1:17" s="289" customFormat="1" ht="18" customHeight="1">
      <c r="A43" s="285"/>
      <c r="B43" s="538"/>
      <c r="C43" s="456" t="s">
        <v>605</v>
      </c>
      <c r="D43" s="538" t="s">
        <v>790</v>
      </c>
      <c r="E43" s="329"/>
      <c r="F43" s="531"/>
      <c r="G43" s="650"/>
      <c r="H43" s="84"/>
      <c r="I43" s="84"/>
      <c r="J43" s="83"/>
      <c r="K43" s="84"/>
      <c r="L43" s="83"/>
      <c r="M43" s="84"/>
      <c r="N43" s="84"/>
      <c r="O43" s="286"/>
      <c r="P43" s="287"/>
      <c r="Q43" s="288"/>
    </row>
    <row r="44" spans="1:17" s="289" customFormat="1" ht="18" customHeight="1">
      <c r="A44" s="344"/>
      <c r="B44" s="538"/>
      <c r="C44" s="456" t="s">
        <v>606</v>
      </c>
      <c r="D44" s="538" t="s">
        <v>790</v>
      </c>
      <c r="E44" s="348"/>
      <c r="F44" s="531"/>
      <c r="G44" s="650"/>
      <c r="H44" s="84"/>
      <c r="I44" s="84"/>
      <c r="J44" s="83"/>
      <c r="K44" s="84"/>
      <c r="L44" s="83"/>
      <c r="M44" s="84"/>
      <c r="N44" s="84"/>
      <c r="O44" s="286"/>
      <c r="P44" s="287"/>
      <c r="Q44" s="288"/>
    </row>
    <row r="45" spans="1:17" s="313" customFormat="1" ht="15" customHeight="1" thickBot="1">
      <c r="A45" s="267"/>
      <c r="B45" s="536"/>
      <c r="C45" s="308"/>
      <c r="D45" s="548"/>
      <c r="E45" s="332"/>
      <c r="F45" s="534"/>
      <c r="G45" s="534"/>
      <c r="H45" s="519"/>
      <c r="I45" s="520"/>
      <c r="J45" s="520"/>
      <c r="K45" s="521"/>
      <c r="L45" s="520"/>
      <c r="M45" s="521"/>
      <c r="N45" s="522"/>
      <c r="P45" s="267"/>
      <c r="Q45" s="267"/>
    </row>
    <row r="46" spans="1:17" s="202" customFormat="1" ht="18" customHeight="1">
      <c r="A46" s="197"/>
      <c r="B46" s="198"/>
      <c r="C46" s="160" t="s">
        <v>358</v>
      </c>
      <c r="D46" s="114"/>
      <c r="E46" s="114"/>
      <c r="F46" s="165"/>
      <c r="G46" s="165"/>
      <c r="H46" s="165"/>
      <c r="I46" s="166">
        <f>SUM(I11:I45)</f>
        <v>0</v>
      </c>
      <c r="J46" s="166"/>
      <c r="K46" s="166">
        <f>SUM(K11:K45)</f>
        <v>0</v>
      </c>
      <c r="L46" s="166"/>
      <c r="M46" s="166">
        <f>SUM(M11:M45)</f>
        <v>0</v>
      </c>
      <c r="N46" s="166">
        <f>SUM(N11:N45)</f>
        <v>0</v>
      </c>
      <c r="O46" s="199"/>
      <c r="P46" s="200"/>
      <c r="Q46" s="201"/>
    </row>
    <row r="47" spans="1:17" s="67" customFormat="1" ht="18" customHeight="1">
      <c r="A47" s="203"/>
      <c r="B47" s="123"/>
      <c r="C47" s="63" t="s">
        <v>133</v>
      </c>
      <c r="D47" s="72">
        <v>0.03</v>
      </c>
      <c r="E47" s="5"/>
      <c r="F47" s="204"/>
      <c r="G47" s="204"/>
      <c r="H47" s="63"/>
      <c r="I47" s="64"/>
      <c r="J47" s="64"/>
      <c r="K47" s="64"/>
      <c r="L47" s="64"/>
      <c r="M47" s="64"/>
      <c r="N47" s="65">
        <f>I46*D47</f>
        <v>0</v>
      </c>
      <c r="O47" s="205"/>
      <c r="P47" s="219"/>
      <c r="Q47" s="219"/>
    </row>
    <row r="48" spans="1:17" s="61" customFormat="1" ht="18" customHeight="1">
      <c r="A48" s="203"/>
      <c r="B48" s="123"/>
      <c r="C48" s="63" t="s">
        <v>68</v>
      </c>
      <c r="D48" s="69"/>
      <c r="E48" s="5"/>
      <c r="F48" s="68"/>
      <c r="G48" s="68"/>
      <c r="H48" s="68"/>
      <c r="I48" s="70"/>
      <c r="J48" s="70"/>
      <c r="K48" s="70"/>
      <c r="L48" s="70"/>
      <c r="M48" s="70"/>
      <c r="N48" s="65">
        <f>SUM(N46:N47)</f>
        <v>0</v>
      </c>
      <c r="O48" s="124"/>
      <c r="P48" s="220"/>
      <c r="Q48" s="220"/>
    </row>
    <row r="49" spans="1:17" s="67" customFormat="1" ht="18" customHeight="1">
      <c r="A49" s="203"/>
      <c r="B49" s="123"/>
      <c r="C49" s="63" t="s">
        <v>123</v>
      </c>
      <c r="D49" s="72">
        <v>0.1</v>
      </c>
      <c r="E49" s="5"/>
      <c r="F49" s="204"/>
      <c r="G49" s="204"/>
      <c r="H49" s="63"/>
      <c r="I49" s="64"/>
      <c r="J49" s="64"/>
      <c r="K49" s="64"/>
      <c r="L49" s="64"/>
      <c r="M49" s="64"/>
      <c r="N49" s="65">
        <f>N48*D49</f>
        <v>0</v>
      </c>
      <c r="O49" s="205"/>
      <c r="P49" s="219"/>
      <c r="Q49" s="219"/>
    </row>
    <row r="50" spans="1:17" s="61" customFormat="1" ht="18" customHeight="1">
      <c r="A50" s="203"/>
      <c r="B50" s="123"/>
      <c r="C50" s="63" t="s">
        <v>68</v>
      </c>
      <c r="D50" s="69"/>
      <c r="E50" s="5"/>
      <c r="F50" s="68"/>
      <c r="G50" s="68"/>
      <c r="H50" s="68"/>
      <c r="I50" s="70"/>
      <c r="J50" s="70"/>
      <c r="K50" s="70"/>
      <c r="L50" s="70"/>
      <c r="M50" s="70"/>
      <c r="N50" s="65">
        <f>SUM(N48:N49)</f>
        <v>0</v>
      </c>
      <c r="O50" s="124"/>
      <c r="P50" s="220"/>
      <c r="Q50" s="220"/>
    </row>
    <row r="51" spans="1:15" s="67" customFormat="1" ht="18" customHeight="1">
      <c r="A51" s="203"/>
      <c r="B51" s="123"/>
      <c r="C51" s="63" t="s">
        <v>124</v>
      </c>
      <c r="D51" s="72">
        <v>0.08</v>
      </c>
      <c r="E51" s="5"/>
      <c r="F51" s="204"/>
      <c r="G51" s="204"/>
      <c r="H51" s="63"/>
      <c r="I51" s="64"/>
      <c r="J51" s="64"/>
      <c r="K51" s="64"/>
      <c r="L51" s="64"/>
      <c r="M51" s="64"/>
      <c r="N51" s="65">
        <f>N50*D51</f>
        <v>0</v>
      </c>
      <c r="O51" s="124"/>
    </row>
    <row r="52" spans="1:15" s="210" customFormat="1" ht="21" customHeight="1" thickBot="1">
      <c r="A52" s="206"/>
      <c r="B52" s="207"/>
      <c r="C52" s="161" t="s">
        <v>141</v>
      </c>
      <c r="D52" s="115"/>
      <c r="E52" s="116"/>
      <c r="F52" s="208"/>
      <c r="G52" s="208"/>
      <c r="H52" s="161"/>
      <c r="I52" s="167"/>
      <c r="J52" s="167"/>
      <c r="K52" s="167"/>
      <c r="L52" s="167"/>
      <c r="M52" s="167"/>
      <c r="N52" s="168">
        <f>SUM(N50:N51)</f>
        <v>0</v>
      </c>
      <c r="O52" s="209"/>
    </row>
    <row r="53" spans="1:15" s="86" customFormat="1" ht="15">
      <c r="A53" s="24"/>
      <c r="B53" s="90"/>
      <c r="C53" s="162"/>
      <c r="D53" s="117"/>
      <c r="E53" s="24"/>
      <c r="F53" s="162"/>
      <c r="G53" s="162"/>
      <c r="H53" s="162"/>
      <c r="I53" s="162"/>
      <c r="J53" s="169"/>
      <c r="K53" s="162"/>
      <c r="L53" s="169"/>
      <c r="M53" s="162"/>
      <c r="N53" s="67"/>
      <c r="O53" s="211"/>
    </row>
    <row r="54" spans="1:15" s="86" customFormat="1" ht="15">
      <c r="A54" s="24"/>
      <c r="B54" s="90"/>
      <c r="C54" s="82"/>
      <c r="D54" s="117"/>
      <c r="E54" s="24"/>
      <c r="F54" s="162"/>
      <c r="G54" s="162"/>
      <c r="H54" s="162"/>
      <c r="I54" s="162"/>
      <c r="J54" s="169"/>
      <c r="K54" s="162"/>
      <c r="L54" s="169"/>
      <c r="M54" s="162"/>
      <c r="N54" s="67"/>
      <c r="O54" s="142"/>
    </row>
    <row r="55" spans="1:15" s="86" customFormat="1" ht="15">
      <c r="A55" s="24"/>
      <c r="B55" s="90"/>
      <c r="C55" s="82"/>
      <c r="D55" s="117"/>
      <c r="E55" s="24"/>
      <c r="F55" s="162"/>
      <c r="G55" s="162"/>
      <c r="H55" s="162"/>
      <c r="I55" s="162"/>
      <c r="J55" s="169"/>
      <c r="K55" s="162"/>
      <c r="L55" s="169"/>
      <c r="M55" s="162"/>
      <c r="N55" s="67"/>
      <c r="O55" s="142"/>
    </row>
    <row r="56" spans="1:15" s="86" customFormat="1" ht="15">
      <c r="A56" s="24"/>
      <c r="B56" s="90"/>
      <c r="C56" s="15"/>
      <c r="D56" s="117"/>
      <c r="E56" s="24"/>
      <c r="F56" s="162"/>
      <c r="G56" s="162"/>
      <c r="H56" s="162"/>
      <c r="I56" s="162"/>
      <c r="J56" s="169"/>
      <c r="K56" s="170"/>
      <c r="L56" s="169"/>
      <c r="M56" s="162"/>
      <c r="N56" s="67"/>
      <c r="O56" s="142"/>
    </row>
    <row r="57" spans="1:15" s="163" customFormat="1" ht="18" customHeight="1">
      <c r="A57" s="118"/>
      <c r="B57" s="212"/>
      <c r="D57" s="118"/>
      <c r="E57" s="119"/>
      <c r="H57" s="678"/>
      <c r="I57" s="678"/>
      <c r="J57" s="678"/>
      <c r="N57" s="27"/>
      <c r="O57" s="176"/>
    </row>
    <row r="58" spans="1:17" s="320" customFormat="1" ht="15">
      <c r="A58" s="267"/>
      <c r="B58" s="536"/>
      <c r="C58" s="315"/>
      <c r="D58" s="549"/>
      <c r="E58" s="324"/>
      <c r="F58" s="513"/>
      <c r="G58" s="513"/>
      <c r="H58" s="513"/>
      <c r="I58" s="513"/>
      <c r="J58" s="523"/>
      <c r="K58" s="513"/>
      <c r="L58" s="523"/>
      <c r="M58" s="513"/>
      <c r="N58" s="524"/>
      <c r="O58" s="319"/>
      <c r="P58" s="319"/>
      <c r="Q58" s="319"/>
    </row>
    <row r="59" spans="1:17" s="320" customFormat="1" ht="15">
      <c r="A59" s="267"/>
      <c r="B59" s="536"/>
      <c r="C59" s="315"/>
      <c r="D59" s="549"/>
      <c r="E59" s="324"/>
      <c r="F59" s="513"/>
      <c r="G59" s="513"/>
      <c r="H59" s="513"/>
      <c r="I59" s="513"/>
      <c r="J59" s="523"/>
      <c r="K59" s="513"/>
      <c r="L59" s="523"/>
      <c r="M59" s="513"/>
      <c r="N59" s="524"/>
      <c r="O59" s="319"/>
      <c r="P59" s="319"/>
      <c r="Q59" s="319"/>
    </row>
    <row r="60" spans="1:17" s="320" customFormat="1" ht="15">
      <c r="A60" s="267"/>
      <c r="B60" s="536"/>
      <c r="C60" s="315"/>
      <c r="D60" s="549"/>
      <c r="E60" s="324"/>
      <c r="F60" s="513"/>
      <c r="G60" s="513"/>
      <c r="H60" s="513"/>
      <c r="I60" s="513"/>
      <c r="J60" s="523"/>
      <c r="K60" s="513"/>
      <c r="L60" s="523"/>
      <c r="M60" s="513"/>
      <c r="N60" s="524"/>
      <c r="O60" s="319"/>
      <c r="P60" s="319"/>
      <c r="Q60" s="319"/>
    </row>
    <row r="61" spans="1:17" s="320" customFormat="1" ht="15">
      <c r="A61" s="267"/>
      <c r="B61" s="536"/>
      <c r="C61" s="315"/>
      <c r="D61" s="549"/>
      <c r="E61" s="324"/>
      <c r="F61" s="513"/>
      <c r="G61" s="513"/>
      <c r="H61" s="513"/>
      <c r="I61" s="513"/>
      <c r="J61" s="523"/>
      <c r="K61" s="513"/>
      <c r="L61" s="523"/>
      <c r="M61" s="513"/>
      <c r="N61" s="524"/>
      <c r="O61" s="319"/>
      <c r="P61" s="319"/>
      <c r="Q61" s="319"/>
    </row>
    <row r="62" spans="1:17" s="320" customFormat="1" ht="15">
      <c r="A62" s="267"/>
      <c r="B62" s="536"/>
      <c r="C62" s="315"/>
      <c r="D62" s="549"/>
      <c r="E62" s="324"/>
      <c r="F62" s="513"/>
      <c r="G62" s="513"/>
      <c r="H62" s="513"/>
      <c r="I62" s="513"/>
      <c r="J62" s="523"/>
      <c r="K62" s="513"/>
      <c r="L62" s="523"/>
      <c r="M62" s="513"/>
      <c r="N62" s="524"/>
      <c r="O62" s="319"/>
      <c r="P62" s="319"/>
      <c r="Q62" s="319"/>
    </row>
    <row r="63" spans="1:17" s="320" customFormat="1" ht="15">
      <c r="A63" s="267"/>
      <c r="B63" s="536"/>
      <c r="C63" s="315"/>
      <c r="D63" s="549"/>
      <c r="E63" s="324"/>
      <c r="F63" s="513"/>
      <c r="G63" s="513"/>
      <c r="H63" s="513"/>
      <c r="I63" s="513"/>
      <c r="J63" s="523"/>
      <c r="K63" s="513"/>
      <c r="L63" s="523"/>
      <c r="M63" s="513"/>
      <c r="N63" s="524"/>
      <c r="O63" s="319"/>
      <c r="P63" s="319"/>
      <c r="Q63" s="319"/>
    </row>
    <row r="64" spans="1:17" s="320" customFormat="1" ht="15">
      <c r="A64" s="267"/>
      <c r="B64" s="536"/>
      <c r="C64" s="315"/>
      <c r="D64" s="549"/>
      <c r="E64" s="324"/>
      <c r="F64" s="513"/>
      <c r="G64" s="513"/>
      <c r="H64" s="513"/>
      <c r="I64" s="513"/>
      <c r="J64" s="523"/>
      <c r="K64" s="513"/>
      <c r="L64" s="523"/>
      <c r="M64" s="513"/>
      <c r="N64" s="524"/>
      <c r="O64" s="319"/>
      <c r="P64" s="319"/>
      <c r="Q64" s="319"/>
    </row>
    <row r="65" spans="1:17" s="320" customFormat="1" ht="15">
      <c r="A65" s="267"/>
      <c r="B65" s="536"/>
      <c r="C65" s="315"/>
      <c r="D65" s="549"/>
      <c r="E65" s="324"/>
      <c r="F65" s="513"/>
      <c r="G65" s="513"/>
      <c r="H65" s="513"/>
      <c r="I65" s="513"/>
      <c r="J65" s="523"/>
      <c r="K65" s="513"/>
      <c r="L65" s="523"/>
      <c r="M65" s="513"/>
      <c r="N65" s="524"/>
      <c r="O65" s="319"/>
      <c r="P65" s="319"/>
      <c r="Q65" s="319"/>
    </row>
    <row r="66" spans="1:17" s="320" customFormat="1" ht="15">
      <c r="A66" s="267"/>
      <c r="B66" s="536"/>
      <c r="C66" s="315"/>
      <c r="D66" s="549"/>
      <c r="E66" s="324"/>
      <c r="F66" s="513"/>
      <c r="G66" s="513"/>
      <c r="H66" s="513"/>
      <c r="I66" s="513"/>
      <c r="J66" s="523"/>
      <c r="K66" s="513"/>
      <c r="L66" s="523"/>
      <c r="M66" s="513"/>
      <c r="N66" s="524"/>
      <c r="O66" s="319"/>
      <c r="P66" s="319"/>
      <c r="Q66" s="319"/>
    </row>
    <row r="67" spans="1:17" s="320" customFormat="1" ht="15">
      <c r="A67" s="267"/>
      <c r="B67" s="536"/>
      <c r="C67" s="315"/>
      <c r="D67" s="549"/>
      <c r="E67" s="324"/>
      <c r="F67" s="513"/>
      <c r="G67" s="513"/>
      <c r="H67" s="513"/>
      <c r="I67" s="513"/>
      <c r="J67" s="523"/>
      <c r="K67" s="513"/>
      <c r="L67" s="523"/>
      <c r="M67" s="513"/>
      <c r="N67" s="524"/>
      <c r="O67" s="319"/>
      <c r="P67" s="319"/>
      <c r="Q67" s="319"/>
    </row>
    <row r="68" spans="1:17" s="320" customFormat="1" ht="15">
      <c r="A68" s="267"/>
      <c r="B68" s="536"/>
      <c r="C68" s="315"/>
      <c r="D68" s="549"/>
      <c r="E68" s="324"/>
      <c r="F68" s="513"/>
      <c r="G68" s="513"/>
      <c r="H68" s="513"/>
      <c r="I68" s="513"/>
      <c r="J68" s="523"/>
      <c r="K68" s="513"/>
      <c r="L68" s="523"/>
      <c r="M68" s="513"/>
      <c r="N68" s="524"/>
      <c r="O68" s="319"/>
      <c r="P68" s="319"/>
      <c r="Q68" s="319"/>
    </row>
    <row r="69" spans="1:17" s="320" customFormat="1" ht="15">
      <c r="A69" s="267"/>
      <c r="B69" s="536"/>
      <c r="C69" s="315"/>
      <c r="D69" s="549"/>
      <c r="E69" s="324"/>
      <c r="F69" s="513"/>
      <c r="G69" s="513"/>
      <c r="H69" s="513"/>
      <c r="I69" s="513"/>
      <c r="J69" s="523"/>
      <c r="K69" s="513"/>
      <c r="L69" s="523"/>
      <c r="M69" s="513"/>
      <c r="N69" s="524"/>
      <c r="O69" s="319"/>
      <c r="P69" s="319"/>
      <c r="Q69" s="319"/>
    </row>
    <row r="70" spans="1:17" s="320" customFormat="1" ht="15">
      <c r="A70" s="267"/>
      <c r="B70" s="536"/>
      <c r="C70" s="315"/>
      <c r="D70" s="549"/>
      <c r="E70" s="324"/>
      <c r="F70" s="513"/>
      <c r="G70" s="513"/>
      <c r="H70" s="513"/>
      <c r="I70" s="513"/>
      <c r="J70" s="523"/>
      <c r="K70" s="513"/>
      <c r="L70" s="523"/>
      <c r="M70" s="513"/>
      <c r="N70" s="524"/>
      <c r="O70" s="319"/>
      <c r="P70" s="319"/>
      <c r="Q70" s="319"/>
    </row>
    <row r="71" spans="1:17" s="320" customFormat="1" ht="15">
      <c r="A71" s="267"/>
      <c r="B71" s="536"/>
      <c r="C71" s="315"/>
      <c r="D71" s="549"/>
      <c r="E71" s="324"/>
      <c r="F71" s="513"/>
      <c r="G71" s="513"/>
      <c r="H71" s="513"/>
      <c r="I71" s="513"/>
      <c r="J71" s="523"/>
      <c r="K71" s="513"/>
      <c r="L71" s="523"/>
      <c r="M71" s="513"/>
      <c r="N71" s="524"/>
      <c r="O71" s="319"/>
      <c r="P71" s="319"/>
      <c r="Q71" s="319"/>
    </row>
    <row r="72" spans="1:17" s="320" customFormat="1" ht="15">
      <c r="A72" s="267"/>
      <c r="B72" s="536"/>
      <c r="C72" s="315"/>
      <c r="D72" s="549"/>
      <c r="E72" s="324"/>
      <c r="F72" s="513"/>
      <c r="G72" s="513"/>
      <c r="H72" s="513"/>
      <c r="I72" s="513"/>
      <c r="J72" s="523"/>
      <c r="K72" s="513"/>
      <c r="L72" s="523"/>
      <c r="M72" s="513"/>
      <c r="N72" s="524"/>
      <c r="O72" s="319"/>
      <c r="P72" s="319"/>
      <c r="Q72" s="319"/>
    </row>
    <row r="73" spans="1:17" s="320" customFormat="1" ht="15">
      <c r="A73" s="267"/>
      <c r="B73" s="536"/>
      <c r="C73" s="315"/>
      <c r="D73" s="549"/>
      <c r="E73" s="324"/>
      <c r="F73" s="513"/>
      <c r="G73" s="513"/>
      <c r="H73" s="513"/>
      <c r="I73" s="513"/>
      <c r="J73" s="523"/>
      <c r="K73" s="513"/>
      <c r="L73" s="523"/>
      <c r="M73" s="513"/>
      <c r="N73" s="524"/>
      <c r="O73" s="319"/>
      <c r="P73" s="319"/>
      <c r="Q73" s="319"/>
    </row>
    <row r="74" spans="1:17" s="320" customFormat="1" ht="15">
      <c r="A74" s="267"/>
      <c r="B74" s="536"/>
      <c r="C74" s="315"/>
      <c r="D74" s="549"/>
      <c r="E74" s="324"/>
      <c r="F74" s="513"/>
      <c r="G74" s="513"/>
      <c r="H74" s="513"/>
      <c r="I74" s="513"/>
      <c r="J74" s="523"/>
      <c r="K74" s="513"/>
      <c r="L74" s="523"/>
      <c r="M74" s="513"/>
      <c r="N74" s="524"/>
      <c r="O74" s="319"/>
      <c r="P74" s="319"/>
      <c r="Q74" s="319"/>
    </row>
    <row r="75" spans="1:17" s="320" customFormat="1" ht="15">
      <c r="A75" s="267"/>
      <c r="B75" s="536"/>
      <c r="C75" s="315"/>
      <c r="D75" s="549"/>
      <c r="E75" s="324"/>
      <c r="F75" s="513"/>
      <c r="G75" s="513"/>
      <c r="H75" s="513"/>
      <c r="I75" s="513"/>
      <c r="J75" s="523"/>
      <c r="K75" s="513"/>
      <c r="L75" s="523"/>
      <c r="M75" s="513"/>
      <c r="N75" s="524"/>
      <c r="O75" s="319"/>
      <c r="P75" s="319"/>
      <c r="Q75" s="319"/>
    </row>
    <row r="76" spans="1:17" s="320" customFormat="1" ht="15">
      <c r="A76" s="267"/>
      <c r="B76" s="536"/>
      <c r="C76" s="315"/>
      <c r="D76" s="549"/>
      <c r="E76" s="324"/>
      <c r="F76" s="513"/>
      <c r="G76" s="513"/>
      <c r="H76" s="513"/>
      <c r="I76" s="513"/>
      <c r="J76" s="523"/>
      <c r="K76" s="513"/>
      <c r="L76" s="523"/>
      <c r="M76" s="513"/>
      <c r="N76" s="524"/>
      <c r="O76" s="319"/>
      <c r="P76" s="319"/>
      <c r="Q76" s="319"/>
    </row>
    <row r="77" spans="1:17" s="320" customFormat="1" ht="15">
      <c r="A77" s="267"/>
      <c r="B77" s="536"/>
      <c r="C77" s="315"/>
      <c r="D77" s="549"/>
      <c r="E77" s="324"/>
      <c r="F77" s="513"/>
      <c r="G77" s="513"/>
      <c r="H77" s="513"/>
      <c r="I77" s="513"/>
      <c r="J77" s="523"/>
      <c r="K77" s="513"/>
      <c r="L77" s="523"/>
      <c r="M77" s="513"/>
      <c r="N77" s="524"/>
      <c r="O77" s="319"/>
      <c r="P77" s="319"/>
      <c r="Q77" s="319"/>
    </row>
    <row r="78" spans="1:17" s="320" customFormat="1" ht="15">
      <c r="A78" s="267"/>
      <c r="B78" s="536"/>
      <c r="C78" s="315"/>
      <c r="D78" s="549"/>
      <c r="E78" s="324"/>
      <c r="F78" s="513"/>
      <c r="G78" s="513"/>
      <c r="H78" s="513"/>
      <c r="I78" s="513"/>
      <c r="J78" s="523"/>
      <c r="K78" s="513"/>
      <c r="L78" s="523"/>
      <c r="M78" s="513"/>
      <c r="N78" s="524"/>
      <c r="O78" s="319"/>
      <c r="P78" s="319"/>
      <c r="Q78" s="319"/>
    </row>
    <row r="79" spans="1:17" s="320" customFormat="1" ht="15">
      <c r="A79" s="267"/>
      <c r="B79" s="536"/>
      <c r="C79" s="315"/>
      <c r="D79" s="549"/>
      <c r="E79" s="324"/>
      <c r="F79" s="513"/>
      <c r="G79" s="513"/>
      <c r="H79" s="513"/>
      <c r="I79" s="513"/>
      <c r="J79" s="523"/>
      <c r="K79" s="513"/>
      <c r="L79" s="523"/>
      <c r="M79" s="513"/>
      <c r="N79" s="524"/>
      <c r="O79" s="319"/>
      <c r="P79" s="319"/>
      <c r="Q79" s="319"/>
    </row>
    <row r="80" spans="1:17" s="320" customFormat="1" ht="15">
      <c r="A80" s="267"/>
      <c r="B80" s="536"/>
      <c r="C80" s="315"/>
      <c r="D80" s="549"/>
      <c r="E80" s="324"/>
      <c r="F80" s="513"/>
      <c r="G80" s="513"/>
      <c r="H80" s="513"/>
      <c r="I80" s="513"/>
      <c r="J80" s="523"/>
      <c r="K80" s="513"/>
      <c r="L80" s="523"/>
      <c r="M80" s="513"/>
      <c r="N80" s="524"/>
      <c r="O80" s="319"/>
      <c r="P80" s="319"/>
      <c r="Q80" s="319"/>
    </row>
    <row r="81" spans="1:17" s="320" customFormat="1" ht="15">
      <c r="A81" s="267"/>
      <c r="B81" s="536"/>
      <c r="C81" s="315"/>
      <c r="D81" s="549"/>
      <c r="E81" s="324"/>
      <c r="F81" s="513"/>
      <c r="G81" s="513"/>
      <c r="H81" s="513"/>
      <c r="I81" s="513"/>
      <c r="J81" s="523"/>
      <c r="K81" s="513"/>
      <c r="L81" s="523"/>
      <c r="M81" s="513"/>
      <c r="N81" s="524"/>
      <c r="O81" s="319"/>
      <c r="P81" s="319"/>
      <c r="Q81" s="319"/>
    </row>
    <row r="82" spans="1:17" s="320" customFormat="1" ht="15">
      <c r="A82" s="267"/>
      <c r="B82" s="536"/>
      <c r="C82" s="315"/>
      <c r="D82" s="549"/>
      <c r="E82" s="324"/>
      <c r="F82" s="513"/>
      <c r="G82" s="513"/>
      <c r="H82" s="513"/>
      <c r="I82" s="513"/>
      <c r="J82" s="523"/>
      <c r="K82" s="513"/>
      <c r="L82" s="523"/>
      <c r="M82" s="513"/>
      <c r="N82" s="524"/>
      <c r="O82" s="319"/>
      <c r="P82" s="319"/>
      <c r="Q82" s="319"/>
    </row>
    <row r="83" spans="1:17" s="320" customFormat="1" ht="15">
      <c r="A83" s="267"/>
      <c r="B83" s="536"/>
      <c r="C83" s="315"/>
      <c r="D83" s="549"/>
      <c r="E83" s="324"/>
      <c r="F83" s="513"/>
      <c r="G83" s="513"/>
      <c r="H83" s="513"/>
      <c r="I83" s="513"/>
      <c r="J83" s="523"/>
      <c r="K83" s="513"/>
      <c r="L83" s="523"/>
      <c r="M83" s="513"/>
      <c r="N83" s="524"/>
      <c r="O83" s="319"/>
      <c r="P83" s="319"/>
      <c r="Q83" s="319"/>
    </row>
    <row r="84" spans="1:17" s="320" customFormat="1" ht="15">
      <c r="A84" s="267"/>
      <c r="B84" s="536"/>
      <c r="C84" s="315"/>
      <c r="D84" s="549"/>
      <c r="E84" s="324"/>
      <c r="F84" s="513"/>
      <c r="G84" s="513"/>
      <c r="H84" s="513"/>
      <c r="I84" s="513"/>
      <c r="J84" s="523"/>
      <c r="K84" s="513"/>
      <c r="L84" s="523"/>
      <c r="M84" s="513"/>
      <c r="N84" s="524"/>
      <c r="O84" s="319"/>
      <c r="P84" s="319"/>
      <c r="Q84" s="319"/>
    </row>
    <row r="85" spans="1:17" s="320" customFormat="1" ht="15">
      <c r="A85" s="267"/>
      <c r="B85" s="536"/>
      <c r="C85" s="315"/>
      <c r="D85" s="549"/>
      <c r="E85" s="324"/>
      <c r="F85" s="513"/>
      <c r="G85" s="513"/>
      <c r="H85" s="513"/>
      <c r="I85" s="513"/>
      <c r="J85" s="523"/>
      <c r="K85" s="513"/>
      <c r="L85" s="523"/>
      <c r="M85" s="513"/>
      <c r="N85" s="524"/>
      <c r="O85" s="319"/>
      <c r="P85" s="319"/>
      <c r="Q85" s="319"/>
    </row>
    <row r="86" spans="1:17" s="320" customFormat="1" ht="15">
      <c r="A86" s="267"/>
      <c r="B86" s="536"/>
      <c r="C86" s="315"/>
      <c r="D86" s="549"/>
      <c r="E86" s="324"/>
      <c r="F86" s="513"/>
      <c r="G86" s="513"/>
      <c r="H86" s="513"/>
      <c r="I86" s="513"/>
      <c r="J86" s="523"/>
      <c r="K86" s="513"/>
      <c r="L86" s="523"/>
      <c r="M86" s="513"/>
      <c r="N86" s="524"/>
      <c r="O86" s="319"/>
      <c r="P86" s="319"/>
      <c r="Q86" s="319"/>
    </row>
    <row r="87" spans="1:17" s="320" customFormat="1" ht="15">
      <c r="A87" s="267"/>
      <c r="B87" s="536"/>
      <c r="C87" s="315"/>
      <c r="D87" s="549"/>
      <c r="E87" s="324"/>
      <c r="F87" s="513"/>
      <c r="G87" s="513"/>
      <c r="H87" s="513"/>
      <c r="I87" s="513"/>
      <c r="J87" s="523"/>
      <c r="K87" s="513"/>
      <c r="L87" s="523"/>
      <c r="M87" s="513"/>
      <c r="N87" s="524"/>
      <c r="O87" s="319"/>
      <c r="P87" s="319"/>
      <c r="Q87" s="319"/>
    </row>
    <row r="88" spans="1:17" s="320" customFormat="1" ht="15">
      <c r="A88" s="267"/>
      <c r="B88" s="536"/>
      <c r="C88" s="315"/>
      <c r="D88" s="549"/>
      <c r="E88" s="324"/>
      <c r="F88" s="513"/>
      <c r="G88" s="513"/>
      <c r="H88" s="513"/>
      <c r="I88" s="513"/>
      <c r="J88" s="523"/>
      <c r="K88" s="513"/>
      <c r="L88" s="523"/>
      <c r="M88" s="513"/>
      <c r="N88" s="524"/>
      <c r="O88" s="319"/>
      <c r="P88" s="319"/>
      <c r="Q88" s="319"/>
    </row>
    <row r="89" spans="1:17" s="320" customFormat="1" ht="15">
      <c r="A89" s="267"/>
      <c r="B89" s="536"/>
      <c r="C89" s="315"/>
      <c r="D89" s="549"/>
      <c r="E89" s="324"/>
      <c r="F89" s="513"/>
      <c r="G89" s="513"/>
      <c r="H89" s="513"/>
      <c r="I89" s="513"/>
      <c r="J89" s="523"/>
      <c r="K89" s="513"/>
      <c r="L89" s="523"/>
      <c r="M89" s="513"/>
      <c r="N89" s="524"/>
      <c r="O89" s="319"/>
      <c r="P89" s="319"/>
      <c r="Q89" s="319"/>
    </row>
    <row r="90" spans="1:17" s="320" customFormat="1" ht="15">
      <c r="A90" s="267"/>
      <c r="B90" s="536"/>
      <c r="C90" s="315"/>
      <c r="D90" s="549"/>
      <c r="E90" s="324"/>
      <c r="F90" s="513"/>
      <c r="G90" s="513"/>
      <c r="H90" s="513"/>
      <c r="I90" s="513"/>
      <c r="J90" s="523"/>
      <c r="K90" s="513"/>
      <c r="L90" s="523"/>
      <c r="M90" s="513"/>
      <c r="N90" s="524"/>
      <c r="O90" s="319"/>
      <c r="P90" s="319"/>
      <c r="Q90" s="319"/>
    </row>
    <row r="91" spans="1:17" s="320" customFormat="1" ht="15">
      <c r="A91" s="267"/>
      <c r="B91" s="536"/>
      <c r="C91" s="315"/>
      <c r="D91" s="549"/>
      <c r="E91" s="324"/>
      <c r="F91" s="513"/>
      <c r="G91" s="513"/>
      <c r="H91" s="513"/>
      <c r="I91" s="513"/>
      <c r="J91" s="523"/>
      <c r="K91" s="513"/>
      <c r="L91" s="523"/>
      <c r="M91" s="513"/>
      <c r="N91" s="524"/>
      <c r="O91" s="319"/>
      <c r="P91" s="319"/>
      <c r="Q91" s="319"/>
    </row>
    <row r="92" spans="1:17" s="320" customFormat="1" ht="15">
      <c r="A92" s="267"/>
      <c r="B92" s="536"/>
      <c r="C92" s="315"/>
      <c r="D92" s="549"/>
      <c r="E92" s="324"/>
      <c r="F92" s="513"/>
      <c r="G92" s="513"/>
      <c r="H92" s="513"/>
      <c r="I92" s="513"/>
      <c r="J92" s="523"/>
      <c r="K92" s="513"/>
      <c r="L92" s="523"/>
      <c r="M92" s="513"/>
      <c r="N92" s="524"/>
      <c r="O92" s="319"/>
      <c r="P92" s="319"/>
      <c r="Q92" s="319"/>
    </row>
    <row r="93" spans="1:17" s="320" customFormat="1" ht="15">
      <c r="A93" s="267"/>
      <c r="B93" s="536"/>
      <c r="C93" s="315"/>
      <c r="D93" s="549"/>
      <c r="E93" s="324"/>
      <c r="F93" s="513"/>
      <c r="G93" s="513"/>
      <c r="H93" s="513"/>
      <c r="I93" s="513"/>
      <c r="J93" s="523"/>
      <c r="K93" s="513"/>
      <c r="L93" s="523"/>
      <c r="M93" s="513"/>
      <c r="N93" s="524"/>
      <c r="O93" s="319"/>
      <c r="P93" s="319"/>
      <c r="Q93" s="319"/>
    </row>
    <row r="94" spans="1:17" s="320" customFormat="1" ht="15">
      <c r="A94" s="267"/>
      <c r="B94" s="536"/>
      <c r="C94" s="315"/>
      <c r="D94" s="549"/>
      <c r="E94" s="324"/>
      <c r="F94" s="513"/>
      <c r="G94" s="513"/>
      <c r="H94" s="513"/>
      <c r="I94" s="513"/>
      <c r="J94" s="523"/>
      <c r="K94" s="513"/>
      <c r="L94" s="523"/>
      <c r="M94" s="513"/>
      <c r="N94" s="524"/>
      <c r="O94" s="319"/>
      <c r="P94" s="319"/>
      <c r="Q94" s="319"/>
    </row>
    <row r="95" spans="1:17" s="320" customFormat="1" ht="15">
      <c r="A95" s="267"/>
      <c r="B95" s="536"/>
      <c r="C95" s="315"/>
      <c r="D95" s="549"/>
      <c r="E95" s="324"/>
      <c r="F95" s="513"/>
      <c r="G95" s="513"/>
      <c r="H95" s="513"/>
      <c r="I95" s="513"/>
      <c r="J95" s="523"/>
      <c r="K95" s="513"/>
      <c r="L95" s="523"/>
      <c r="M95" s="513"/>
      <c r="N95" s="524"/>
      <c r="O95" s="319"/>
      <c r="P95" s="319"/>
      <c r="Q95" s="319"/>
    </row>
    <row r="96" spans="1:17" s="320" customFormat="1" ht="15">
      <c r="A96" s="267"/>
      <c r="B96" s="536"/>
      <c r="C96" s="315"/>
      <c r="D96" s="549"/>
      <c r="E96" s="324"/>
      <c r="F96" s="513"/>
      <c r="G96" s="513"/>
      <c r="H96" s="513"/>
      <c r="I96" s="513"/>
      <c r="J96" s="523"/>
      <c r="K96" s="513"/>
      <c r="L96" s="523"/>
      <c r="M96" s="513"/>
      <c r="N96" s="524"/>
      <c r="O96" s="319"/>
      <c r="P96" s="319"/>
      <c r="Q96" s="319"/>
    </row>
    <row r="97" spans="1:17" s="320" customFormat="1" ht="15">
      <c r="A97" s="267"/>
      <c r="B97" s="536"/>
      <c r="C97" s="315"/>
      <c r="D97" s="549"/>
      <c r="E97" s="324"/>
      <c r="F97" s="513"/>
      <c r="G97" s="513"/>
      <c r="H97" s="513"/>
      <c r="I97" s="513"/>
      <c r="J97" s="523"/>
      <c r="K97" s="513"/>
      <c r="L97" s="523"/>
      <c r="M97" s="513"/>
      <c r="N97" s="524"/>
      <c r="O97" s="319"/>
      <c r="P97" s="319"/>
      <c r="Q97" s="319"/>
    </row>
    <row r="98" spans="1:17" s="320" customFormat="1" ht="15">
      <c r="A98" s="267"/>
      <c r="B98" s="536"/>
      <c r="C98" s="315"/>
      <c r="D98" s="549"/>
      <c r="E98" s="324"/>
      <c r="F98" s="513"/>
      <c r="G98" s="513"/>
      <c r="H98" s="513"/>
      <c r="I98" s="513"/>
      <c r="J98" s="523"/>
      <c r="K98" s="513"/>
      <c r="L98" s="523"/>
      <c r="M98" s="513"/>
      <c r="N98" s="524"/>
      <c r="O98" s="319"/>
      <c r="P98" s="319"/>
      <c r="Q98" s="319"/>
    </row>
    <row r="99" spans="1:17" s="320" customFormat="1" ht="15">
      <c r="A99" s="267"/>
      <c r="B99" s="536"/>
      <c r="C99" s="315"/>
      <c r="D99" s="549"/>
      <c r="E99" s="324"/>
      <c r="F99" s="513"/>
      <c r="G99" s="513"/>
      <c r="H99" s="513"/>
      <c r="I99" s="513"/>
      <c r="J99" s="523"/>
      <c r="K99" s="513"/>
      <c r="L99" s="523"/>
      <c r="M99" s="513"/>
      <c r="N99" s="524"/>
      <c r="O99" s="319"/>
      <c r="P99" s="319"/>
      <c r="Q99" s="319"/>
    </row>
    <row r="100" spans="1:17" s="320" customFormat="1" ht="15">
      <c r="A100" s="267"/>
      <c r="B100" s="536"/>
      <c r="C100" s="315"/>
      <c r="D100" s="549"/>
      <c r="E100" s="324"/>
      <c r="F100" s="513"/>
      <c r="G100" s="513"/>
      <c r="H100" s="513"/>
      <c r="I100" s="513"/>
      <c r="J100" s="523"/>
      <c r="K100" s="513"/>
      <c r="L100" s="523"/>
      <c r="M100" s="513"/>
      <c r="N100" s="524"/>
      <c r="O100" s="319"/>
      <c r="P100" s="319"/>
      <c r="Q100" s="319"/>
    </row>
    <row r="101" spans="1:17" s="320" customFormat="1" ht="15">
      <c r="A101" s="267"/>
      <c r="B101" s="536"/>
      <c r="C101" s="315"/>
      <c r="D101" s="549"/>
      <c r="E101" s="324"/>
      <c r="F101" s="513"/>
      <c r="G101" s="513"/>
      <c r="H101" s="513"/>
      <c r="I101" s="513"/>
      <c r="J101" s="523"/>
      <c r="K101" s="513"/>
      <c r="L101" s="523"/>
      <c r="M101" s="513"/>
      <c r="N101" s="524"/>
      <c r="O101" s="319"/>
      <c r="P101" s="319"/>
      <c r="Q101" s="319"/>
    </row>
    <row r="102" spans="1:17" s="320" customFormat="1" ht="15">
      <c r="A102" s="267"/>
      <c r="B102" s="536"/>
      <c r="C102" s="315"/>
      <c r="D102" s="549"/>
      <c r="E102" s="324"/>
      <c r="F102" s="513"/>
      <c r="G102" s="513"/>
      <c r="H102" s="513"/>
      <c r="I102" s="513"/>
      <c r="J102" s="523"/>
      <c r="K102" s="513"/>
      <c r="L102" s="523"/>
      <c r="M102" s="513"/>
      <c r="N102" s="524"/>
      <c r="O102" s="319"/>
      <c r="P102" s="319"/>
      <c r="Q102" s="319"/>
    </row>
    <row r="103" spans="1:17" s="320" customFormat="1" ht="15">
      <c r="A103" s="267"/>
      <c r="B103" s="536"/>
      <c r="C103" s="315"/>
      <c r="D103" s="549"/>
      <c r="E103" s="324"/>
      <c r="F103" s="513"/>
      <c r="G103" s="513"/>
      <c r="H103" s="513"/>
      <c r="I103" s="513"/>
      <c r="J103" s="523"/>
      <c r="K103" s="513"/>
      <c r="L103" s="523"/>
      <c r="M103" s="513"/>
      <c r="N103" s="524"/>
      <c r="O103" s="319"/>
      <c r="P103" s="319"/>
      <c r="Q103" s="319"/>
    </row>
    <row r="104" spans="1:17" s="320" customFormat="1" ht="15">
      <c r="A104" s="267"/>
      <c r="B104" s="536"/>
      <c r="C104" s="315"/>
      <c r="D104" s="549"/>
      <c r="E104" s="324"/>
      <c r="F104" s="513"/>
      <c r="G104" s="513"/>
      <c r="H104" s="513"/>
      <c r="I104" s="513"/>
      <c r="J104" s="523"/>
      <c r="K104" s="513"/>
      <c r="L104" s="523"/>
      <c r="M104" s="513"/>
      <c r="N104" s="524"/>
      <c r="O104" s="319"/>
      <c r="P104" s="319"/>
      <c r="Q104" s="319"/>
    </row>
    <row r="105" spans="1:17" s="320" customFormat="1" ht="15">
      <c r="A105" s="267"/>
      <c r="B105" s="536"/>
      <c r="C105" s="315"/>
      <c r="D105" s="549"/>
      <c r="E105" s="324"/>
      <c r="F105" s="513"/>
      <c r="G105" s="513"/>
      <c r="H105" s="513"/>
      <c r="I105" s="513"/>
      <c r="J105" s="523"/>
      <c r="K105" s="513"/>
      <c r="L105" s="523"/>
      <c r="M105" s="513"/>
      <c r="N105" s="524"/>
      <c r="O105" s="319"/>
      <c r="P105" s="319"/>
      <c r="Q105" s="319"/>
    </row>
    <row r="106" spans="1:17" s="320" customFormat="1" ht="15">
      <c r="A106" s="267"/>
      <c r="B106" s="536"/>
      <c r="C106" s="315"/>
      <c r="D106" s="549"/>
      <c r="E106" s="324"/>
      <c r="F106" s="513"/>
      <c r="G106" s="513"/>
      <c r="H106" s="513"/>
      <c r="I106" s="513"/>
      <c r="J106" s="523"/>
      <c r="K106" s="513"/>
      <c r="L106" s="523"/>
      <c r="M106" s="513"/>
      <c r="N106" s="524"/>
      <c r="O106" s="319"/>
      <c r="P106" s="319"/>
      <c r="Q106" s="319"/>
    </row>
    <row r="107" spans="1:17" s="320" customFormat="1" ht="15">
      <c r="A107" s="267"/>
      <c r="B107" s="536"/>
      <c r="C107" s="315"/>
      <c r="D107" s="549"/>
      <c r="E107" s="324"/>
      <c r="F107" s="513"/>
      <c r="G107" s="513"/>
      <c r="H107" s="513"/>
      <c r="I107" s="513"/>
      <c r="J107" s="523"/>
      <c r="K107" s="513"/>
      <c r="L107" s="523"/>
      <c r="M107" s="513"/>
      <c r="N107" s="524"/>
      <c r="O107" s="319"/>
      <c r="P107" s="319"/>
      <c r="Q107" s="319"/>
    </row>
    <row r="108" spans="1:17" s="320" customFormat="1" ht="15">
      <c r="A108" s="267"/>
      <c r="B108" s="536"/>
      <c r="C108" s="315"/>
      <c r="D108" s="549"/>
      <c r="E108" s="324"/>
      <c r="F108" s="513"/>
      <c r="G108" s="513"/>
      <c r="H108" s="513"/>
      <c r="I108" s="513"/>
      <c r="J108" s="523"/>
      <c r="K108" s="513"/>
      <c r="L108" s="523"/>
      <c r="M108" s="513"/>
      <c r="N108" s="524"/>
      <c r="O108" s="319"/>
      <c r="P108" s="319"/>
      <c r="Q108" s="319"/>
    </row>
    <row r="109" spans="1:17" s="320" customFormat="1" ht="15">
      <c r="A109" s="267"/>
      <c r="B109" s="536"/>
      <c r="C109" s="315"/>
      <c r="D109" s="549"/>
      <c r="E109" s="324"/>
      <c r="F109" s="513"/>
      <c r="G109" s="513"/>
      <c r="H109" s="513"/>
      <c r="I109" s="513"/>
      <c r="J109" s="523"/>
      <c r="K109" s="513"/>
      <c r="L109" s="523"/>
      <c r="M109" s="513"/>
      <c r="N109" s="524"/>
      <c r="O109" s="319"/>
      <c r="P109" s="319"/>
      <c r="Q109" s="319"/>
    </row>
    <row r="110" spans="1:17" s="320" customFormat="1" ht="15">
      <c r="A110" s="267"/>
      <c r="B110" s="536"/>
      <c r="C110" s="315"/>
      <c r="D110" s="549"/>
      <c r="E110" s="324"/>
      <c r="F110" s="513"/>
      <c r="G110" s="513"/>
      <c r="H110" s="513"/>
      <c r="I110" s="513"/>
      <c r="J110" s="523"/>
      <c r="K110" s="513"/>
      <c r="L110" s="523"/>
      <c r="M110" s="513"/>
      <c r="N110" s="524"/>
      <c r="O110" s="319"/>
      <c r="P110" s="319"/>
      <c r="Q110" s="319"/>
    </row>
    <row r="111" spans="1:17" s="320" customFormat="1" ht="15">
      <c r="A111" s="267"/>
      <c r="B111" s="536"/>
      <c r="C111" s="315"/>
      <c r="D111" s="549"/>
      <c r="E111" s="324"/>
      <c r="F111" s="513"/>
      <c r="G111" s="513"/>
      <c r="H111" s="513"/>
      <c r="I111" s="513"/>
      <c r="J111" s="523"/>
      <c r="K111" s="513"/>
      <c r="L111" s="523"/>
      <c r="M111" s="513"/>
      <c r="N111" s="524"/>
      <c r="O111" s="319"/>
      <c r="P111" s="319"/>
      <c r="Q111" s="319"/>
    </row>
    <row r="112" spans="1:17" s="320" customFormat="1" ht="15">
      <c r="A112" s="267"/>
      <c r="B112" s="536"/>
      <c r="C112" s="315"/>
      <c r="D112" s="549"/>
      <c r="E112" s="324"/>
      <c r="F112" s="513"/>
      <c r="G112" s="513"/>
      <c r="H112" s="513"/>
      <c r="I112" s="513"/>
      <c r="J112" s="523"/>
      <c r="K112" s="513"/>
      <c r="L112" s="523"/>
      <c r="M112" s="513"/>
      <c r="N112" s="524"/>
      <c r="O112" s="319"/>
      <c r="P112" s="319"/>
      <c r="Q112" s="319"/>
    </row>
    <row r="113" spans="1:17" s="320" customFormat="1" ht="15">
      <c r="A113" s="267"/>
      <c r="B113" s="536"/>
      <c r="C113" s="315"/>
      <c r="D113" s="549"/>
      <c r="E113" s="324"/>
      <c r="F113" s="513"/>
      <c r="G113" s="513"/>
      <c r="H113" s="513"/>
      <c r="I113" s="513"/>
      <c r="J113" s="523"/>
      <c r="K113" s="513"/>
      <c r="L113" s="523"/>
      <c r="M113" s="513"/>
      <c r="N113" s="524"/>
      <c r="O113" s="319"/>
      <c r="P113" s="319"/>
      <c r="Q113" s="319"/>
    </row>
    <row r="114" spans="1:17" s="320" customFormat="1" ht="15">
      <c r="A114" s="267"/>
      <c r="B114" s="536"/>
      <c r="C114" s="315"/>
      <c r="D114" s="549"/>
      <c r="E114" s="324"/>
      <c r="F114" s="513"/>
      <c r="G114" s="513"/>
      <c r="H114" s="513"/>
      <c r="I114" s="513"/>
      <c r="J114" s="523"/>
      <c r="K114" s="513"/>
      <c r="L114" s="523"/>
      <c r="M114" s="513"/>
      <c r="N114" s="524"/>
      <c r="O114" s="319"/>
      <c r="P114" s="319"/>
      <c r="Q114" s="319"/>
    </row>
    <row r="115" spans="1:17" s="320" customFormat="1" ht="15">
      <c r="A115" s="267"/>
      <c r="B115" s="536"/>
      <c r="C115" s="315"/>
      <c r="D115" s="549"/>
      <c r="E115" s="324"/>
      <c r="F115" s="513"/>
      <c r="G115" s="513"/>
      <c r="H115" s="513"/>
      <c r="I115" s="513"/>
      <c r="J115" s="523"/>
      <c r="K115" s="513"/>
      <c r="L115" s="523"/>
      <c r="M115" s="513"/>
      <c r="N115" s="524"/>
      <c r="O115" s="319"/>
      <c r="P115" s="319"/>
      <c r="Q115" s="319"/>
    </row>
    <row r="116" spans="1:17" s="320" customFormat="1" ht="15">
      <c r="A116" s="267"/>
      <c r="B116" s="536"/>
      <c r="C116" s="315"/>
      <c r="D116" s="549"/>
      <c r="E116" s="324"/>
      <c r="F116" s="513"/>
      <c r="G116" s="513"/>
      <c r="H116" s="513"/>
      <c r="I116" s="513"/>
      <c r="J116" s="523"/>
      <c r="K116" s="513"/>
      <c r="L116" s="523"/>
      <c r="M116" s="513"/>
      <c r="N116" s="524"/>
      <c r="O116" s="319"/>
      <c r="P116" s="319"/>
      <c r="Q116" s="319"/>
    </row>
    <row r="117" spans="1:17" s="320" customFormat="1" ht="15">
      <c r="A117" s="267"/>
      <c r="B117" s="536"/>
      <c r="C117" s="315"/>
      <c r="D117" s="549"/>
      <c r="E117" s="324"/>
      <c r="F117" s="513"/>
      <c r="G117" s="513"/>
      <c r="H117" s="513"/>
      <c r="I117" s="513"/>
      <c r="J117" s="523"/>
      <c r="K117" s="513"/>
      <c r="L117" s="523"/>
      <c r="M117" s="513"/>
      <c r="N117" s="524"/>
      <c r="O117" s="319"/>
      <c r="P117" s="319"/>
      <c r="Q117" s="319"/>
    </row>
    <row r="118" spans="1:17" s="320" customFormat="1" ht="15">
      <c r="A118" s="267"/>
      <c r="B118" s="536"/>
      <c r="C118" s="315"/>
      <c r="D118" s="549"/>
      <c r="E118" s="324"/>
      <c r="F118" s="513"/>
      <c r="G118" s="513"/>
      <c r="H118" s="513"/>
      <c r="I118" s="513"/>
      <c r="J118" s="523"/>
      <c r="K118" s="513"/>
      <c r="L118" s="523"/>
      <c r="M118" s="513"/>
      <c r="N118" s="524"/>
      <c r="O118" s="319"/>
      <c r="P118" s="319"/>
      <c r="Q118" s="319"/>
    </row>
    <row r="119" spans="1:17" s="320" customFormat="1" ht="15">
      <c r="A119" s="267"/>
      <c r="B119" s="536"/>
      <c r="C119" s="315"/>
      <c r="D119" s="549"/>
      <c r="E119" s="324"/>
      <c r="F119" s="513"/>
      <c r="G119" s="513"/>
      <c r="H119" s="513"/>
      <c r="I119" s="513"/>
      <c r="J119" s="523"/>
      <c r="K119" s="513"/>
      <c r="L119" s="523"/>
      <c r="M119" s="513"/>
      <c r="N119" s="524"/>
      <c r="O119" s="319"/>
      <c r="P119" s="319"/>
      <c r="Q119" s="319"/>
    </row>
    <row r="120" spans="1:17" s="320" customFormat="1" ht="15">
      <c r="A120" s="267"/>
      <c r="B120" s="536"/>
      <c r="C120" s="315"/>
      <c r="D120" s="549"/>
      <c r="E120" s="324"/>
      <c r="F120" s="513"/>
      <c r="G120" s="513"/>
      <c r="H120" s="513"/>
      <c r="I120" s="513"/>
      <c r="J120" s="523"/>
      <c r="K120" s="513"/>
      <c r="L120" s="523"/>
      <c r="M120" s="513"/>
      <c r="N120" s="524"/>
      <c r="O120" s="319"/>
      <c r="P120" s="319"/>
      <c r="Q120" s="319"/>
    </row>
    <row r="121" spans="1:17" s="320" customFormat="1" ht="15">
      <c r="A121" s="267"/>
      <c r="B121" s="536"/>
      <c r="C121" s="315"/>
      <c r="D121" s="549"/>
      <c r="E121" s="324"/>
      <c r="F121" s="513"/>
      <c r="G121" s="513"/>
      <c r="H121" s="513"/>
      <c r="I121" s="513"/>
      <c r="J121" s="523"/>
      <c r="K121" s="513"/>
      <c r="L121" s="523"/>
      <c r="M121" s="513"/>
      <c r="N121" s="524"/>
      <c r="O121" s="319"/>
      <c r="P121" s="319"/>
      <c r="Q121" s="319"/>
    </row>
    <row r="122" spans="1:17" s="320" customFormat="1" ht="15">
      <c r="A122" s="267"/>
      <c r="B122" s="536"/>
      <c r="C122" s="315"/>
      <c r="D122" s="549"/>
      <c r="E122" s="324"/>
      <c r="F122" s="513"/>
      <c r="G122" s="513"/>
      <c r="H122" s="513"/>
      <c r="I122" s="513"/>
      <c r="J122" s="523"/>
      <c r="K122" s="513"/>
      <c r="L122" s="523"/>
      <c r="M122" s="513"/>
      <c r="N122" s="524"/>
      <c r="O122" s="319"/>
      <c r="P122" s="319"/>
      <c r="Q122" s="319"/>
    </row>
    <row r="123" spans="1:17" s="320" customFormat="1" ht="15">
      <c r="A123" s="267"/>
      <c r="B123" s="536"/>
      <c r="C123" s="315"/>
      <c r="D123" s="549"/>
      <c r="E123" s="324"/>
      <c r="F123" s="513"/>
      <c r="G123" s="513"/>
      <c r="H123" s="513"/>
      <c r="I123" s="513"/>
      <c r="J123" s="523"/>
      <c r="K123" s="513"/>
      <c r="L123" s="523"/>
      <c r="M123" s="513"/>
      <c r="N123" s="524"/>
      <c r="O123" s="319"/>
      <c r="P123" s="319"/>
      <c r="Q123" s="319"/>
    </row>
    <row r="124" spans="1:17" s="320" customFormat="1" ht="15">
      <c r="A124" s="267"/>
      <c r="B124" s="536"/>
      <c r="C124" s="315"/>
      <c r="D124" s="549"/>
      <c r="E124" s="324"/>
      <c r="F124" s="513"/>
      <c r="G124" s="513"/>
      <c r="H124" s="513"/>
      <c r="I124" s="513"/>
      <c r="J124" s="523"/>
      <c r="K124" s="513"/>
      <c r="L124" s="523"/>
      <c r="M124" s="513"/>
      <c r="N124" s="524"/>
      <c r="O124" s="319"/>
      <c r="P124" s="319"/>
      <c r="Q124" s="319"/>
    </row>
    <row r="125" spans="1:17" s="320" customFormat="1" ht="15">
      <c r="A125" s="267"/>
      <c r="B125" s="536"/>
      <c r="C125" s="315"/>
      <c r="D125" s="549"/>
      <c r="E125" s="324"/>
      <c r="F125" s="513"/>
      <c r="G125" s="513"/>
      <c r="H125" s="513"/>
      <c r="I125" s="513"/>
      <c r="J125" s="523"/>
      <c r="K125" s="513"/>
      <c r="L125" s="523"/>
      <c r="M125" s="513"/>
      <c r="N125" s="524"/>
      <c r="O125" s="319"/>
      <c r="P125" s="319"/>
      <c r="Q125" s="319"/>
    </row>
    <row r="126" spans="1:17" s="320" customFormat="1" ht="15">
      <c r="A126" s="267"/>
      <c r="B126" s="536"/>
      <c r="C126" s="315"/>
      <c r="D126" s="549"/>
      <c r="E126" s="324"/>
      <c r="F126" s="513"/>
      <c r="G126" s="513"/>
      <c r="H126" s="513"/>
      <c r="I126" s="513"/>
      <c r="J126" s="523"/>
      <c r="K126" s="513"/>
      <c r="L126" s="523"/>
      <c r="M126" s="513"/>
      <c r="N126" s="524"/>
      <c r="O126" s="319"/>
      <c r="P126" s="319"/>
      <c r="Q126" s="319"/>
    </row>
    <row r="127" spans="1:17" s="320" customFormat="1" ht="15">
      <c r="A127" s="267"/>
      <c r="B127" s="536"/>
      <c r="C127" s="315"/>
      <c r="D127" s="549"/>
      <c r="E127" s="324"/>
      <c r="F127" s="513"/>
      <c r="G127" s="513"/>
      <c r="H127" s="513"/>
      <c r="I127" s="513"/>
      <c r="J127" s="523"/>
      <c r="K127" s="513"/>
      <c r="L127" s="523"/>
      <c r="M127" s="513"/>
      <c r="N127" s="524"/>
      <c r="O127" s="319"/>
      <c r="P127" s="319"/>
      <c r="Q127" s="319"/>
    </row>
    <row r="128" spans="1:17" s="320" customFormat="1" ht="15">
      <c r="A128" s="267"/>
      <c r="B128" s="536"/>
      <c r="C128" s="315"/>
      <c r="D128" s="549"/>
      <c r="E128" s="324"/>
      <c r="F128" s="513"/>
      <c r="G128" s="513"/>
      <c r="H128" s="513"/>
      <c r="I128" s="513"/>
      <c r="J128" s="523"/>
      <c r="K128" s="513"/>
      <c r="L128" s="523"/>
      <c r="M128" s="513"/>
      <c r="N128" s="524"/>
      <c r="O128" s="319"/>
      <c r="P128" s="319"/>
      <c r="Q128" s="319"/>
    </row>
    <row r="129" spans="1:17" s="320" customFormat="1" ht="15">
      <c r="A129" s="267"/>
      <c r="B129" s="536"/>
      <c r="C129" s="315"/>
      <c r="D129" s="549"/>
      <c r="E129" s="324"/>
      <c r="F129" s="513"/>
      <c r="G129" s="513"/>
      <c r="H129" s="513"/>
      <c r="I129" s="513"/>
      <c r="J129" s="523"/>
      <c r="K129" s="513"/>
      <c r="L129" s="523"/>
      <c r="M129" s="513"/>
      <c r="N129" s="524"/>
      <c r="O129" s="319"/>
      <c r="P129" s="319"/>
      <c r="Q129" s="319"/>
    </row>
    <row r="130" spans="1:17" s="320" customFormat="1" ht="15">
      <c r="A130" s="267"/>
      <c r="B130" s="536"/>
      <c r="C130" s="315"/>
      <c r="D130" s="549"/>
      <c r="E130" s="324"/>
      <c r="F130" s="513"/>
      <c r="G130" s="513"/>
      <c r="H130" s="513"/>
      <c r="I130" s="513"/>
      <c r="J130" s="523"/>
      <c r="K130" s="513"/>
      <c r="L130" s="523"/>
      <c r="M130" s="513"/>
      <c r="N130" s="524"/>
      <c r="O130" s="319"/>
      <c r="P130" s="319"/>
      <c r="Q130" s="319"/>
    </row>
    <row r="131" spans="1:17" s="320" customFormat="1" ht="15">
      <c r="A131" s="267"/>
      <c r="B131" s="536"/>
      <c r="C131" s="315"/>
      <c r="D131" s="549"/>
      <c r="E131" s="324"/>
      <c r="F131" s="513"/>
      <c r="G131" s="513"/>
      <c r="H131" s="513"/>
      <c r="I131" s="513"/>
      <c r="J131" s="523"/>
      <c r="K131" s="513"/>
      <c r="L131" s="523"/>
      <c r="M131" s="513"/>
      <c r="N131" s="524"/>
      <c r="O131" s="319"/>
      <c r="P131" s="319"/>
      <c r="Q131" s="319"/>
    </row>
    <row r="132" spans="1:17" s="320" customFormat="1" ht="15">
      <c r="A132" s="267"/>
      <c r="B132" s="536"/>
      <c r="C132" s="315"/>
      <c r="D132" s="549"/>
      <c r="E132" s="324"/>
      <c r="F132" s="513"/>
      <c r="G132" s="513"/>
      <c r="H132" s="513"/>
      <c r="I132" s="513"/>
      <c r="J132" s="523"/>
      <c r="K132" s="513"/>
      <c r="L132" s="523"/>
      <c r="M132" s="513"/>
      <c r="N132" s="524"/>
      <c r="O132" s="319"/>
      <c r="P132" s="319"/>
      <c r="Q132" s="319"/>
    </row>
    <row r="133" spans="1:17" s="320" customFormat="1" ht="15">
      <c r="A133" s="267"/>
      <c r="B133" s="536"/>
      <c r="C133" s="315"/>
      <c r="D133" s="549"/>
      <c r="E133" s="324"/>
      <c r="F133" s="513"/>
      <c r="G133" s="513"/>
      <c r="H133" s="513"/>
      <c r="I133" s="513"/>
      <c r="J133" s="523"/>
      <c r="K133" s="513"/>
      <c r="L133" s="523"/>
      <c r="M133" s="513"/>
      <c r="N133" s="524"/>
      <c r="O133" s="319"/>
      <c r="P133" s="319"/>
      <c r="Q133" s="319"/>
    </row>
    <row r="134" spans="1:17" s="320" customFormat="1" ht="15">
      <c r="A134" s="267"/>
      <c r="B134" s="536"/>
      <c r="C134" s="315"/>
      <c r="D134" s="549"/>
      <c r="E134" s="324"/>
      <c r="F134" s="513"/>
      <c r="G134" s="513"/>
      <c r="H134" s="513"/>
      <c r="I134" s="513"/>
      <c r="J134" s="523"/>
      <c r="K134" s="513"/>
      <c r="L134" s="523"/>
      <c r="M134" s="513"/>
      <c r="N134" s="524"/>
      <c r="O134" s="319"/>
      <c r="P134" s="319"/>
      <c r="Q134" s="319"/>
    </row>
    <row r="135" spans="1:17" s="320" customFormat="1" ht="15">
      <c r="A135" s="267"/>
      <c r="B135" s="536"/>
      <c r="C135" s="315"/>
      <c r="D135" s="549"/>
      <c r="E135" s="324"/>
      <c r="F135" s="513"/>
      <c r="G135" s="513"/>
      <c r="H135" s="513"/>
      <c r="I135" s="513"/>
      <c r="J135" s="523"/>
      <c r="K135" s="513"/>
      <c r="L135" s="523"/>
      <c r="M135" s="513"/>
      <c r="N135" s="524"/>
      <c r="O135" s="319"/>
      <c r="P135" s="319"/>
      <c r="Q135" s="319"/>
    </row>
    <row r="136" spans="1:17" s="320" customFormat="1" ht="15">
      <c r="A136" s="267"/>
      <c r="B136" s="536"/>
      <c r="C136" s="315"/>
      <c r="D136" s="549"/>
      <c r="E136" s="324"/>
      <c r="F136" s="513"/>
      <c r="G136" s="513"/>
      <c r="H136" s="513"/>
      <c r="I136" s="513"/>
      <c r="J136" s="523"/>
      <c r="K136" s="513"/>
      <c r="L136" s="523"/>
      <c r="M136" s="513"/>
      <c r="N136" s="524"/>
      <c r="O136" s="319"/>
      <c r="P136" s="319"/>
      <c r="Q136" s="319"/>
    </row>
    <row r="137" spans="1:17" s="320" customFormat="1" ht="15">
      <c r="A137" s="267"/>
      <c r="B137" s="536"/>
      <c r="C137" s="315"/>
      <c r="D137" s="549"/>
      <c r="E137" s="324"/>
      <c r="F137" s="513"/>
      <c r="G137" s="513"/>
      <c r="H137" s="513"/>
      <c r="I137" s="513"/>
      <c r="J137" s="523"/>
      <c r="K137" s="513"/>
      <c r="L137" s="523"/>
      <c r="M137" s="513"/>
      <c r="N137" s="524"/>
      <c r="O137" s="319"/>
      <c r="P137" s="319"/>
      <c r="Q137" s="319"/>
    </row>
    <row r="138" spans="1:17" s="320" customFormat="1" ht="15">
      <c r="A138" s="267"/>
      <c r="B138" s="536"/>
      <c r="C138" s="315"/>
      <c r="D138" s="549"/>
      <c r="E138" s="324"/>
      <c r="F138" s="513"/>
      <c r="G138" s="513"/>
      <c r="H138" s="513"/>
      <c r="I138" s="513"/>
      <c r="J138" s="523"/>
      <c r="K138" s="513"/>
      <c r="L138" s="523"/>
      <c r="M138" s="513"/>
      <c r="N138" s="524"/>
      <c r="O138" s="319"/>
      <c r="P138" s="319"/>
      <c r="Q138" s="319"/>
    </row>
    <row r="139" spans="1:17" s="320" customFormat="1" ht="15">
      <c r="A139" s="267"/>
      <c r="B139" s="536"/>
      <c r="C139" s="315"/>
      <c r="D139" s="549"/>
      <c r="E139" s="324"/>
      <c r="F139" s="513"/>
      <c r="G139" s="513"/>
      <c r="H139" s="513"/>
      <c r="I139" s="513"/>
      <c r="J139" s="523"/>
      <c r="K139" s="513"/>
      <c r="L139" s="523"/>
      <c r="M139" s="513"/>
      <c r="N139" s="524"/>
      <c r="O139" s="319"/>
      <c r="P139" s="319"/>
      <c r="Q139" s="319"/>
    </row>
    <row r="140" spans="1:17" s="320" customFormat="1" ht="15">
      <c r="A140" s="267"/>
      <c r="B140" s="536"/>
      <c r="C140" s="315"/>
      <c r="D140" s="549"/>
      <c r="E140" s="324"/>
      <c r="F140" s="513"/>
      <c r="G140" s="513"/>
      <c r="H140" s="513"/>
      <c r="I140" s="513"/>
      <c r="J140" s="523"/>
      <c r="K140" s="513"/>
      <c r="L140" s="523"/>
      <c r="M140" s="513"/>
      <c r="N140" s="524"/>
      <c r="O140" s="319"/>
      <c r="P140" s="319"/>
      <c r="Q140" s="319"/>
    </row>
    <row r="141" spans="1:17" s="320" customFormat="1" ht="15">
      <c r="A141" s="267"/>
      <c r="B141" s="536"/>
      <c r="C141" s="315"/>
      <c r="D141" s="549"/>
      <c r="E141" s="324"/>
      <c r="F141" s="513"/>
      <c r="G141" s="513"/>
      <c r="H141" s="513"/>
      <c r="I141" s="513"/>
      <c r="J141" s="523"/>
      <c r="K141" s="513"/>
      <c r="L141" s="523"/>
      <c r="M141" s="513"/>
      <c r="N141" s="524"/>
      <c r="O141" s="319"/>
      <c r="P141" s="319"/>
      <c r="Q141" s="319"/>
    </row>
    <row r="142" spans="1:17" s="320" customFormat="1" ht="15">
      <c r="A142" s="267"/>
      <c r="B142" s="536"/>
      <c r="C142" s="315"/>
      <c r="D142" s="549"/>
      <c r="E142" s="324"/>
      <c r="F142" s="513"/>
      <c r="G142" s="513"/>
      <c r="H142" s="513"/>
      <c r="I142" s="513"/>
      <c r="J142" s="523"/>
      <c r="K142" s="513"/>
      <c r="L142" s="523"/>
      <c r="M142" s="513"/>
      <c r="N142" s="524"/>
      <c r="O142" s="319"/>
      <c r="P142" s="319"/>
      <c r="Q142" s="319"/>
    </row>
    <row r="143" spans="1:17" s="320" customFormat="1" ht="15">
      <c r="A143" s="267"/>
      <c r="B143" s="536"/>
      <c r="C143" s="315"/>
      <c r="D143" s="549"/>
      <c r="E143" s="324"/>
      <c r="F143" s="513"/>
      <c r="G143" s="513"/>
      <c r="H143" s="513"/>
      <c r="I143" s="513"/>
      <c r="J143" s="523"/>
      <c r="K143" s="513"/>
      <c r="L143" s="523"/>
      <c r="M143" s="513"/>
      <c r="N143" s="524"/>
      <c r="O143" s="319"/>
      <c r="P143" s="319"/>
      <c r="Q143" s="319"/>
    </row>
    <row r="144" spans="1:17" s="320" customFormat="1" ht="15">
      <c r="A144" s="267"/>
      <c r="B144" s="536"/>
      <c r="C144" s="315"/>
      <c r="D144" s="549"/>
      <c r="E144" s="324"/>
      <c r="F144" s="513"/>
      <c r="G144" s="513"/>
      <c r="H144" s="513"/>
      <c r="I144" s="513"/>
      <c r="J144" s="523"/>
      <c r="K144" s="513"/>
      <c r="L144" s="523"/>
      <c r="M144" s="513"/>
      <c r="N144" s="524"/>
      <c r="O144" s="319"/>
      <c r="P144" s="319"/>
      <c r="Q144" s="319"/>
    </row>
    <row r="145" spans="1:17" s="320" customFormat="1" ht="15">
      <c r="A145" s="267"/>
      <c r="B145" s="536"/>
      <c r="C145" s="315"/>
      <c r="D145" s="549"/>
      <c r="E145" s="324"/>
      <c r="F145" s="513"/>
      <c r="G145" s="513"/>
      <c r="H145" s="513"/>
      <c r="I145" s="513"/>
      <c r="J145" s="523"/>
      <c r="K145" s="513"/>
      <c r="L145" s="523"/>
      <c r="M145" s="513"/>
      <c r="N145" s="524"/>
      <c r="O145" s="319"/>
      <c r="P145" s="319"/>
      <c r="Q145" s="319"/>
    </row>
    <row r="146" spans="1:17" s="320" customFormat="1" ht="15">
      <c r="A146" s="313"/>
      <c r="B146" s="542"/>
      <c r="C146" s="319"/>
      <c r="D146" s="550"/>
      <c r="E146" s="333"/>
      <c r="F146" s="524"/>
      <c r="G146" s="524"/>
      <c r="H146" s="524"/>
      <c r="I146" s="524"/>
      <c r="J146" s="525"/>
      <c r="K146" s="524"/>
      <c r="L146" s="525"/>
      <c r="M146" s="524"/>
      <c r="N146" s="524"/>
      <c r="O146" s="319"/>
      <c r="P146" s="319"/>
      <c r="Q146" s="319"/>
    </row>
    <row r="147" spans="1:17" s="320" customFormat="1" ht="15">
      <c r="A147" s="313"/>
      <c r="B147" s="542"/>
      <c r="C147" s="319"/>
      <c r="D147" s="550"/>
      <c r="E147" s="333"/>
      <c r="F147" s="524"/>
      <c r="G147" s="524"/>
      <c r="H147" s="524"/>
      <c r="I147" s="524"/>
      <c r="J147" s="525"/>
      <c r="K147" s="524"/>
      <c r="L147" s="525"/>
      <c r="M147" s="524"/>
      <c r="N147" s="524"/>
      <c r="O147" s="319"/>
      <c r="P147" s="319"/>
      <c r="Q147" s="319"/>
    </row>
    <row r="148" spans="1:17" s="320" customFormat="1" ht="15">
      <c r="A148" s="313"/>
      <c r="B148" s="542"/>
      <c r="C148" s="319"/>
      <c r="D148" s="550"/>
      <c r="E148" s="333"/>
      <c r="F148" s="524"/>
      <c r="G148" s="524"/>
      <c r="H148" s="524"/>
      <c r="I148" s="524"/>
      <c r="J148" s="525"/>
      <c r="K148" s="524"/>
      <c r="L148" s="525"/>
      <c r="M148" s="524"/>
      <c r="N148" s="524"/>
      <c r="O148" s="319"/>
      <c r="P148" s="319"/>
      <c r="Q148" s="319"/>
    </row>
    <row r="149" spans="1:17" s="320" customFormat="1" ht="15">
      <c r="A149" s="313"/>
      <c r="B149" s="542"/>
      <c r="C149" s="319"/>
      <c r="D149" s="550"/>
      <c r="E149" s="333"/>
      <c r="F149" s="524"/>
      <c r="G149" s="524"/>
      <c r="H149" s="524"/>
      <c r="I149" s="524"/>
      <c r="J149" s="525"/>
      <c r="K149" s="524"/>
      <c r="L149" s="525"/>
      <c r="M149" s="524"/>
      <c r="N149" s="524"/>
      <c r="O149" s="319"/>
      <c r="P149" s="319"/>
      <c r="Q149" s="319"/>
    </row>
    <row r="193" spans="1:3" ht="15">
      <c r="A193" s="319"/>
      <c r="C193" s="322"/>
    </row>
    <row r="194" spans="1:3" ht="15">
      <c r="A194" s="319"/>
      <c r="C194" s="322"/>
    </row>
    <row r="195" spans="1:3" ht="15">
      <c r="A195" s="319"/>
      <c r="C195" s="322"/>
    </row>
    <row r="196" spans="1:3" ht="15">
      <c r="A196" s="319"/>
      <c r="C196" s="322"/>
    </row>
    <row r="197" spans="1:3" ht="15">
      <c r="A197" s="319"/>
      <c r="C197" s="322"/>
    </row>
    <row r="198" spans="1:3" ht="15">
      <c r="A198" s="319"/>
      <c r="C198" s="322"/>
    </row>
    <row r="199" spans="1:3" ht="15">
      <c r="A199" s="319"/>
      <c r="C199" s="322"/>
    </row>
    <row r="200" spans="1:3" ht="15">
      <c r="A200" s="319"/>
      <c r="C200" s="322"/>
    </row>
    <row r="201" spans="1:3" ht="15">
      <c r="A201" s="319"/>
      <c r="C201" s="322"/>
    </row>
    <row r="202" spans="1:3" ht="15">
      <c r="A202" s="319"/>
      <c r="C202" s="322"/>
    </row>
    <row r="203" spans="1:3" ht="15">
      <c r="A203" s="319"/>
      <c r="C203" s="322"/>
    </row>
    <row r="204" spans="1:3" ht="15">
      <c r="A204" s="319"/>
      <c r="C204" s="322"/>
    </row>
    <row r="205" spans="1:3" ht="15">
      <c r="A205" s="319"/>
      <c r="C205" s="322"/>
    </row>
    <row r="206" spans="1:3" ht="15">
      <c r="A206" s="319"/>
      <c r="C206" s="322"/>
    </row>
    <row r="207" spans="1:3" ht="15">
      <c r="A207" s="319"/>
      <c r="C207" s="322"/>
    </row>
    <row r="208" spans="1:3" ht="15">
      <c r="A208" s="319"/>
      <c r="C208" s="322"/>
    </row>
    <row r="209" spans="1:3" ht="15">
      <c r="A209" s="319"/>
      <c r="C209" s="322"/>
    </row>
    <row r="210" spans="1:3" ht="15">
      <c r="A210" s="319"/>
      <c r="C210" s="322"/>
    </row>
    <row r="211" spans="1:3" ht="15">
      <c r="A211" s="319"/>
      <c r="C211" s="322"/>
    </row>
    <row r="212" spans="1:3" ht="15">
      <c r="A212" s="319"/>
      <c r="C212" s="322"/>
    </row>
    <row r="213" spans="1:3" ht="15">
      <c r="A213" s="319"/>
      <c r="C213" s="322"/>
    </row>
    <row r="214" spans="1:3" ht="15">
      <c r="A214" s="319"/>
      <c r="C214" s="322"/>
    </row>
    <row r="215" spans="1:3" ht="15">
      <c r="A215" s="319"/>
      <c r="C215" s="322"/>
    </row>
    <row r="216" spans="1:3" ht="15">
      <c r="A216" s="319"/>
      <c r="C216" s="322"/>
    </row>
    <row r="217" spans="1:3" ht="15">
      <c r="A217" s="319"/>
      <c r="C217" s="322"/>
    </row>
    <row r="218" spans="1:3" ht="15">
      <c r="A218" s="319"/>
      <c r="C218" s="322"/>
    </row>
    <row r="219" spans="1:3" ht="15">
      <c r="A219" s="319"/>
      <c r="C219" s="322"/>
    </row>
    <row r="220" spans="1:3" ht="15">
      <c r="A220" s="319"/>
      <c r="C220" s="322"/>
    </row>
    <row r="221" spans="1:3" ht="15">
      <c r="A221" s="319"/>
      <c r="C221" s="322"/>
    </row>
    <row r="222" spans="1:3" ht="15">
      <c r="A222" s="319"/>
      <c r="C222" s="322"/>
    </row>
    <row r="223" spans="1:3" ht="15">
      <c r="A223" s="319"/>
      <c r="C223" s="322"/>
    </row>
    <row r="224" spans="1:3" ht="15">
      <c r="A224" s="319"/>
      <c r="C224" s="322"/>
    </row>
    <row r="225" spans="1:3" ht="15">
      <c r="A225" s="319"/>
      <c r="C225" s="322"/>
    </row>
    <row r="226" spans="1:3" ht="15">
      <c r="A226" s="319"/>
      <c r="C226" s="322"/>
    </row>
    <row r="227" spans="1:3" ht="15">
      <c r="A227" s="319"/>
      <c r="C227" s="322"/>
    </row>
    <row r="228" spans="1:3" ht="15">
      <c r="A228" s="319"/>
      <c r="C228" s="322"/>
    </row>
    <row r="229" spans="1:3" ht="15">
      <c r="A229" s="319"/>
      <c r="C229" s="322"/>
    </row>
    <row r="230" spans="1:3" ht="15">
      <c r="A230" s="319"/>
      <c r="C230" s="322"/>
    </row>
    <row r="231" spans="1:3" ht="15">
      <c r="A231" s="319"/>
      <c r="C231" s="322"/>
    </row>
    <row r="232" spans="1:3" ht="15">
      <c r="A232" s="319"/>
      <c r="C232" s="322"/>
    </row>
    <row r="233" spans="1:3" ht="15">
      <c r="A233" s="319"/>
      <c r="C233" s="322"/>
    </row>
    <row r="234" spans="1:3" ht="15">
      <c r="A234" s="319"/>
      <c r="C234" s="322"/>
    </row>
    <row r="235" spans="1:3" ht="15">
      <c r="A235" s="319"/>
      <c r="C235" s="322"/>
    </row>
    <row r="236" spans="1:3" ht="15">
      <c r="A236" s="319"/>
      <c r="C236" s="322"/>
    </row>
    <row r="237" spans="1:3" ht="15">
      <c r="A237" s="319"/>
      <c r="C237" s="322"/>
    </row>
    <row r="238" spans="1:3" ht="15">
      <c r="A238" s="319"/>
      <c r="C238" s="322"/>
    </row>
    <row r="239" spans="1:3" ht="15">
      <c r="A239" s="319"/>
      <c r="C239" s="322"/>
    </row>
    <row r="240" spans="1:3" ht="15">
      <c r="A240" s="319"/>
      <c r="C240" s="322"/>
    </row>
    <row r="241" spans="1:3" ht="15">
      <c r="A241" s="319"/>
      <c r="C241" s="322"/>
    </row>
    <row r="242" spans="1:3" ht="15">
      <c r="A242" s="319"/>
      <c r="C242" s="322"/>
    </row>
    <row r="243" spans="1:3" ht="15">
      <c r="A243" s="319"/>
      <c r="C243" s="322"/>
    </row>
    <row r="244" spans="1:3" ht="15">
      <c r="A244" s="319"/>
      <c r="C244" s="322"/>
    </row>
    <row r="245" spans="1:3" ht="15">
      <c r="A245" s="319"/>
      <c r="C245" s="322"/>
    </row>
    <row r="246" spans="1:3" ht="15">
      <c r="A246" s="319"/>
      <c r="C246" s="322"/>
    </row>
    <row r="247" spans="1:3" ht="15">
      <c r="A247" s="319"/>
      <c r="C247" s="322"/>
    </row>
    <row r="248" spans="1:3" ht="15">
      <c r="A248" s="319"/>
      <c r="C248" s="322"/>
    </row>
    <row r="249" spans="1:3" ht="15">
      <c r="A249" s="319"/>
      <c r="C249" s="322"/>
    </row>
    <row r="250" spans="1:3" ht="15">
      <c r="A250" s="319"/>
      <c r="C250" s="322"/>
    </row>
    <row r="251" spans="1:3" ht="15">
      <c r="A251" s="319"/>
      <c r="C251" s="322"/>
    </row>
    <row r="252" spans="1:3" ht="15">
      <c r="A252" s="319"/>
      <c r="C252" s="322"/>
    </row>
    <row r="253" spans="1:3" ht="15">
      <c r="A253" s="319"/>
      <c r="C253" s="322"/>
    </row>
    <row r="254" spans="1:3" ht="15">
      <c r="A254" s="319"/>
      <c r="C254" s="322"/>
    </row>
    <row r="255" spans="1:3" ht="15">
      <c r="A255" s="319"/>
      <c r="C255" s="322"/>
    </row>
    <row r="256" spans="1:3" ht="15">
      <c r="A256" s="319"/>
      <c r="C256" s="322"/>
    </row>
    <row r="257" spans="1:3" ht="15">
      <c r="A257" s="319"/>
      <c r="C257" s="322"/>
    </row>
    <row r="258" spans="1:3" ht="15">
      <c r="A258" s="319"/>
      <c r="C258" s="322"/>
    </row>
    <row r="259" spans="1:3" ht="15">
      <c r="A259" s="319"/>
      <c r="C259" s="322"/>
    </row>
    <row r="260" spans="1:3" ht="15">
      <c r="A260" s="319"/>
      <c r="C260" s="322"/>
    </row>
    <row r="261" spans="1:3" ht="15">
      <c r="A261" s="319"/>
      <c r="C261" s="322"/>
    </row>
    <row r="262" spans="1:3" ht="15">
      <c r="A262" s="319"/>
      <c r="C262" s="322"/>
    </row>
    <row r="263" spans="1:3" ht="15">
      <c r="A263" s="319"/>
      <c r="C263" s="322"/>
    </row>
    <row r="264" spans="1:3" ht="15">
      <c r="A264" s="319"/>
      <c r="C264" s="322"/>
    </row>
    <row r="265" spans="1:3" ht="15">
      <c r="A265" s="319"/>
      <c r="C265" s="322"/>
    </row>
    <row r="266" spans="1:3" ht="15">
      <c r="A266" s="319"/>
      <c r="C266" s="322"/>
    </row>
    <row r="267" spans="1:3" ht="15">
      <c r="A267" s="319"/>
      <c r="C267" s="322"/>
    </row>
    <row r="268" spans="1:3" ht="15">
      <c r="A268" s="319"/>
      <c r="C268" s="322"/>
    </row>
    <row r="269" spans="1:3" ht="15">
      <c r="A269" s="319"/>
      <c r="C269" s="322"/>
    </row>
    <row r="270" spans="1:3" ht="15">
      <c r="A270" s="319"/>
      <c r="C270" s="322"/>
    </row>
    <row r="271" spans="1:3" ht="15">
      <c r="A271" s="319"/>
      <c r="C271" s="322"/>
    </row>
    <row r="272" spans="1:3" ht="15">
      <c r="A272" s="319"/>
      <c r="C272" s="322"/>
    </row>
    <row r="273" spans="1:3" ht="15">
      <c r="A273" s="319"/>
      <c r="C273" s="322"/>
    </row>
    <row r="274" spans="1:3" ht="15">
      <c r="A274" s="319"/>
      <c r="C274" s="322"/>
    </row>
    <row r="275" spans="1:3" ht="15">
      <c r="A275" s="319"/>
      <c r="C275" s="322"/>
    </row>
    <row r="276" spans="1:3" ht="15">
      <c r="A276" s="319"/>
      <c r="C276" s="322"/>
    </row>
    <row r="277" spans="1:3" ht="15">
      <c r="A277" s="319"/>
      <c r="C277" s="322"/>
    </row>
    <row r="278" spans="1:3" ht="15">
      <c r="A278" s="319"/>
      <c r="C278" s="322"/>
    </row>
    <row r="279" spans="1:3" ht="15">
      <c r="A279" s="319"/>
      <c r="C279" s="322"/>
    </row>
    <row r="280" spans="1:3" ht="15">
      <c r="A280" s="319"/>
      <c r="C280" s="322"/>
    </row>
    <row r="281" spans="1:3" ht="15">
      <c r="A281" s="319"/>
      <c r="C281" s="322"/>
    </row>
    <row r="282" spans="1:3" ht="15">
      <c r="A282" s="319"/>
      <c r="C282" s="322"/>
    </row>
    <row r="283" spans="1:3" ht="15">
      <c r="A283" s="319"/>
      <c r="C283" s="322"/>
    </row>
    <row r="284" spans="1:3" ht="15">
      <c r="A284" s="319"/>
      <c r="C284" s="322"/>
    </row>
    <row r="285" spans="1:3" ht="15">
      <c r="A285" s="319"/>
      <c r="C285" s="322"/>
    </row>
    <row r="286" spans="1:3" ht="15">
      <c r="A286" s="319"/>
      <c r="C286" s="322"/>
    </row>
    <row r="287" spans="1:3" ht="15">
      <c r="A287" s="319"/>
      <c r="C287" s="322"/>
    </row>
    <row r="288" spans="1:3" ht="15">
      <c r="A288" s="319"/>
      <c r="C288" s="322"/>
    </row>
    <row r="289" spans="1:3" ht="15">
      <c r="A289" s="319"/>
      <c r="C289" s="322"/>
    </row>
    <row r="290" spans="1:3" ht="15">
      <c r="A290" s="319"/>
      <c r="C290" s="322"/>
    </row>
    <row r="291" spans="1:3" ht="15">
      <c r="A291" s="319"/>
      <c r="C291" s="322"/>
    </row>
    <row r="292" spans="1:3" ht="15">
      <c r="A292" s="319"/>
      <c r="C292" s="322"/>
    </row>
    <row r="293" spans="1:3" ht="15">
      <c r="A293" s="319"/>
      <c r="C293" s="322"/>
    </row>
    <row r="294" spans="1:3" ht="15">
      <c r="A294" s="319"/>
      <c r="C294" s="322"/>
    </row>
    <row r="295" spans="1:3" ht="15">
      <c r="A295" s="319"/>
      <c r="C295" s="322"/>
    </row>
    <row r="296" spans="1:3" ht="15">
      <c r="A296" s="319"/>
      <c r="C296" s="322"/>
    </row>
    <row r="297" spans="1:3" ht="15">
      <c r="A297" s="319"/>
      <c r="C297" s="322"/>
    </row>
    <row r="298" spans="1:3" ht="15">
      <c r="A298" s="319"/>
      <c r="C298" s="322"/>
    </row>
    <row r="299" spans="1:3" ht="15">
      <c r="A299" s="319"/>
      <c r="C299" s="322"/>
    </row>
    <row r="300" spans="1:3" ht="15">
      <c r="A300" s="319"/>
      <c r="C300" s="322"/>
    </row>
    <row r="301" spans="1:3" ht="15">
      <c r="A301" s="319"/>
      <c r="C301" s="322"/>
    </row>
    <row r="302" spans="1:3" ht="15">
      <c r="A302" s="319"/>
      <c r="C302" s="322"/>
    </row>
    <row r="303" spans="1:3" ht="15">
      <c r="A303" s="319"/>
      <c r="C303" s="322"/>
    </row>
    <row r="304" spans="1:3" ht="15">
      <c r="A304" s="319"/>
      <c r="C304" s="322"/>
    </row>
    <row r="305" spans="1:3" ht="15">
      <c r="A305" s="319"/>
      <c r="C305" s="322"/>
    </row>
    <row r="306" spans="1:3" ht="15">
      <c r="A306" s="319"/>
      <c r="C306" s="322"/>
    </row>
    <row r="307" spans="1:3" ht="15">
      <c r="A307" s="319"/>
      <c r="C307" s="322"/>
    </row>
    <row r="308" spans="1:3" ht="15">
      <c r="A308" s="319"/>
      <c r="C308" s="322"/>
    </row>
    <row r="309" spans="1:3" ht="15">
      <c r="A309" s="319"/>
      <c r="C309" s="322"/>
    </row>
    <row r="310" spans="1:3" ht="15">
      <c r="A310" s="319"/>
      <c r="C310" s="322"/>
    </row>
    <row r="311" spans="1:3" ht="15">
      <c r="A311" s="319"/>
      <c r="C311" s="322"/>
    </row>
    <row r="312" spans="1:3" ht="15">
      <c r="A312" s="319"/>
      <c r="C312" s="322"/>
    </row>
    <row r="313" spans="1:3" ht="15">
      <c r="A313" s="319"/>
      <c r="C313" s="322"/>
    </row>
    <row r="314" spans="1:3" ht="15">
      <c r="A314" s="319"/>
      <c r="C314" s="322"/>
    </row>
    <row r="315" spans="1:3" ht="15">
      <c r="A315" s="319"/>
      <c r="C315" s="322"/>
    </row>
    <row r="316" spans="1:3" ht="15">
      <c r="A316" s="319"/>
      <c r="C316" s="322"/>
    </row>
    <row r="317" spans="1:3" ht="15">
      <c r="A317" s="319"/>
      <c r="C317" s="322"/>
    </row>
    <row r="318" spans="1:3" ht="15">
      <c r="A318" s="319"/>
      <c r="C318" s="322"/>
    </row>
    <row r="319" spans="1:3" ht="15">
      <c r="A319" s="319"/>
      <c r="C319" s="322"/>
    </row>
    <row r="320" spans="1:3" ht="15">
      <c r="A320" s="319"/>
      <c r="C320" s="322"/>
    </row>
    <row r="321" spans="1:3" ht="15">
      <c r="A321" s="319"/>
      <c r="C321" s="322"/>
    </row>
    <row r="322" spans="1:3" ht="15">
      <c r="A322" s="319"/>
      <c r="C322" s="322"/>
    </row>
    <row r="323" spans="1:3" ht="15">
      <c r="A323" s="319"/>
      <c r="C323" s="322"/>
    </row>
    <row r="324" spans="1:3" ht="15">
      <c r="A324" s="319"/>
      <c r="C324" s="322"/>
    </row>
    <row r="325" spans="1:3" ht="15">
      <c r="A325" s="319"/>
      <c r="C325" s="322"/>
    </row>
    <row r="326" spans="1:3" ht="15">
      <c r="A326" s="319"/>
      <c r="C326" s="322"/>
    </row>
    <row r="327" spans="1:3" ht="15">
      <c r="A327" s="319"/>
      <c r="C327" s="322"/>
    </row>
    <row r="328" spans="1:3" ht="15">
      <c r="A328" s="319"/>
      <c r="C328" s="322"/>
    </row>
    <row r="329" spans="1:3" ht="15">
      <c r="A329" s="319"/>
      <c r="C329" s="322"/>
    </row>
    <row r="330" spans="1:3" ht="15">
      <c r="A330" s="319"/>
      <c r="C330" s="322"/>
    </row>
    <row r="331" spans="1:3" ht="15">
      <c r="A331" s="319"/>
      <c r="C331" s="322"/>
    </row>
    <row r="332" spans="1:3" ht="15">
      <c r="A332" s="319"/>
      <c r="C332" s="322"/>
    </row>
    <row r="333" spans="1:3" ht="15">
      <c r="A333" s="319"/>
      <c r="C333" s="322"/>
    </row>
    <row r="334" spans="1:3" ht="15">
      <c r="A334" s="319"/>
      <c r="C334" s="322"/>
    </row>
    <row r="335" spans="1:3" ht="15">
      <c r="A335" s="319"/>
      <c r="C335" s="322"/>
    </row>
    <row r="336" spans="1:3" ht="15">
      <c r="A336" s="319"/>
      <c r="C336" s="322"/>
    </row>
    <row r="337" spans="1:3" ht="15">
      <c r="A337" s="319"/>
      <c r="C337" s="322"/>
    </row>
    <row r="338" spans="1:3" ht="15">
      <c r="A338" s="319"/>
      <c r="C338" s="322"/>
    </row>
    <row r="339" spans="1:3" ht="15">
      <c r="A339" s="319"/>
      <c r="C339" s="322"/>
    </row>
    <row r="340" spans="1:3" ht="15">
      <c r="A340" s="319"/>
      <c r="C340" s="322"/>
    </row>
    <row r="341" spans="1:3" ht="15">
      <c r="A341" s="319"/>
      <c r="C341" s="322"/>
    </row>
    <row r="342" spans="1:3" ht="15">
      <c r="A342" s="319"/>
      <c r="C342" s="322"/>
    </row>
    <row r="343" spans="1:3" ht="15">
      <c r="A343" s="319"/>
      <c r="C343" s="322"/>
    </row>
    <row r="344" spans="1:3" ht="15">
      <c r="A344" s="319"/>
      <c r="C344" s="322"/>
    </row>
    <row r="345" spans="1:3" ht="15">
      <c r="A345" s="319"/>
      <c r="C345" s="322"/>
    </row>
    <row r="346" spans="1:3" ht="15">
      <c r="A346" s="319"/>
      <c r="C346" s="322"/>
    </row>
    <row r="347" spans="1:3" ht="15">
      <c r="A347" s="319"/>
      <c r="C347" s="322"/>
    </row>
    <row r="348" spans="1:3" ht="15">
      <c r="A348" s="319"/>
      <c r="C348" s="322"/>
    </row>
    <row r="349" spans="1:3" ht="15">
      <c r="A349" s="319"/>
      <c r="C349" s="322"/>
    </row>
    <row r="350" spans="1:3" ht="15">
      <c r="A350" s="319"/>
      <c r="C350" s="322"/>
    </row>
    <row r="351" spans="1:3" ht="15">
      <c r="A351" s="319"/>
      <c r="C351" s="322"/>
    </row>
    <row r="352" spans="1:3" ht="15">
      <c r="A352" s="319"/>
      <c r="C352" s="322"/>
    </row>
    <row r="353" spans="1:3" ht="15">
      <c r="A353" s="319"/>
      <c r="C353" s="322"/>
    </row>
    <row r="354" spans="1:3" ht="15">
      <c r="A354" s="319"/>
      <c r="C354" s="322"/>
    </row>
    <row r="355" spans="1:3" ht="15">
      <c r="A355" s="319"/>
      <c r="C355" s="322"/>
    </row>
    <row r="356" spans="1:3" ht="15">
      <c r="A356" s="319"/>
      <c r="C356" s="322"/>
    </row>
    <row r="357" spans="1:3" ht="15">
      <c r="A357" s="319"/>
      <c r="C357" s="322"/>
    </row>
    <row r="358" spans="1:3" ht="15">
      <c r="A358" s="319"/>
      <c r="C358" s="322"/>
    </row>
    <row r="359" spans="1:3" ht="15">
      <c r="A359" s="319"/>
      <c r="C359" s="322"/>
    </row>
    <row r="360" spans="1:3" ht="15">
      <c r="A360" s="319"/>
      <c r="C360" s="322"/>
    </row>
    <row r="361" spans="1:3" ht="15">
      <c r="A361" s="319"/>
      <c r="C361" s="322"/>
    </row>
    <row r="362" spans="1:3" ht="15">
      <c r="A362" s="319"/>
      <c r="C362" s="322"/>
    </row>
    <row r="363" spans="1:3" ht="15">
      <c r="A363" s="319"/>
      <c r="C363" s="322"/>
    </row>
    <row r="364" spans="1:3" ht="15">
      <c r="A364" s="319"/>
      <c r="C364" s="322"/>
    </row>
    <row r="365" spans="1:3" ht="15">
      <c r="A365" s="319"/>
      <c r="C365" s="322"/>
    </row>
    <row r="366" spans="1:3" ht="15">
      <c r="A366" s="319"/>
      <c r="C366" s="322"/>
    </row>
    <row r="367" spans="1:3" ht="15">
      <c r="A367" s="319"/>
      <c r="C367" s="322"/>
    </row>
    <row r="368" spans="1:3" ht="15">
      <c r="A368" s="319"/>
      <c r="C368" s="322"/>
    </row>
    <row r="369" spans="1:3" ht="15">
      <c r="A369" s="319"/>
      <c r="C369" s="322"/>
    </row>
    <row r="370" spans="1:3" ht="15">
      <c r="A370" s="319"/>
      <c r="C370" s="322"/>
    </row>
    <row r="371" spans="1:3" ht="15">
      <c r="A371" s="319"/>
      <c r="C371" s="322"/>
    </row>
    <row r="372" spans="1:3" ht="15">
      <c r="A372" s="319"/>
      <c r="C372" s="322"/>
    </row>
    <row r="373" spans="1:3" ht="15">
      <c r="A373" s="319"/>
      <c r="C373" s="322"/>
    </row>
    <row r="374" spans="1:3" ht="15">
      <c r="A374" s="319"/>
      <c r="C374" s="322"/>
    </row>
    <row r="375" spans="1:3" ht="15">
      <c r="A375" s="319"/>
      <c r="C375" s="322"/>
    </row>
    <row r="376" spans="1:3" ht="15">
      <c r="A376" s="319"/>
      <c r="C376" s="322"/>
    </row>
    <row r="377" spans="1:3" ht="15">
      <c r="A377" s="319"/>
      <c r="C377" s="322"/>
    </row>
    <row r="378" spans="1:3" ht="15">
      <c r="A378" s="319"/>
      <c r="C378" s="322"/>
    </row>
    <row r="379" spans="1:3" ht="15">
      <c r="A379" s="319"/>
      <c r="C379" s="322"/>
    </row>
    <row r="380" spans="1:3" ht="15">
      <c r="A380" s="319"/>
      <c r="C380" s="322"/>
    </row>
    <row r="381" spans="1:3" ht="15">
      <c r="A381" s="319"/>
      <c r="C381" s="322"/>
    </row>
    <row r="382" spans="1:3" ht="15">
      <c r="A382" s="319"/>
      <c r="C382" s="322"/>
    </row>
    <row r="383" spans="1:3" ht="15">
      <c r="A383" s="319"/>
      <c r="C383" s="322"/>
    </row>
    <row r="384" spans="1:3" ht="15">
      <c r="A384" s="319"/>
      <c r="C384" s="322"/>
    </row>
    <row r="385" spans="1:3" ht="15">
      <c r="A385" s="319"/>
      <c r="C385" s="322"/>
    </row>
    <row r="386" spans="1:3" ht="15">
      <c r="A386" s="319"/>
      <c r="C386" s="322"/>
    </row>
    <row r="387" spans="1:3" ht="15">
      <c r="A387" s="319"/>
      <c r="C387" s="322"/>
    </row>
    <row r="388" spans="1:3" ht="15">
      <c r="A388" s="319"/>
      <c r="C388" s="322"/>
    </row>
    <row r="389" spans="1:3" ht="15">
      <c r="A389" s="319"/>
      <c r="C389" s="322"/>
    </row>
    <row r="390" spans="1:3" ht="15">
      <c r="A390" s="319"/>
      <c r="C390" s="322"/>
    </row>
    <row r="391" spans="1:3" ht="15">
      <c r="A391" s="319"/>
      <c r="C391" s="322"/>
    </row>
    <row r="392" spans="1:3" ht="15">
      <c r="A392" s="319"/>
      <c r="C392" s="322"/>
    </row>
    <row r="393" spans="1:3" ht="15">
      <c r="A393" s="319"/>
      <c r="C393" s="322"/>
    </row>
    <row r="394" spans="1:3" ht="15">
      <c r="A394" s="319"/>
      <c r="C394" s="322"/>
    </row>
    <row r="395" spans="1:3" ht="15">
      <c r="A395" s="319"/>
      <c r="C395" s="322"/>
    </row>
    <row r="396" spans="1:3" ht="15">
      <c r="A396" s="319"/>
      <c r="C396" s="322"/>
    </row>
    <row r="397" spans="1:3" ht="15">
      <c r="A397" s="319"/>
      <c r="C397" s="322"/>
    </row>
    <row r="398" spans="1:3" ht="15">
      <c r="A398" s="319"/>
      <c r="C398" s="322"/>
    </row>
    <row r="399" spans="1:3" ht="15">
      <c r="A399" s="319"/>
      <c r="C399" s="322"/>
    </row>
    <row r="400" spans="1:3" ht="15">
      <c r="A400" s="319"/>
      <c r="C400" s="322"/>
    </row>
    <row r="401" spans="1:3" ht="15">
      <c r="A401" s="319"/>
      <c r="C401" s="322"/>
    </row>
    <row r="402" spans="1:3" ht="15">
      <c r="A402" s="319"/>
      <c r="C402" s="322"/>
    </row>
    <row r="403" spans="1:3" ht="15">
      <c r="A403" s="319"/>
      <c r="C403" s="322"/>
    </row>
    <row r="404" spans="1:3" ht="15">
      <c r="A404" s="319"/>
      <c r="C404" s="322"/>
    </row>
    <row r="405" spans="1:3" ht="15">
      <c r="A405" s="319"/>
      <c r="C405" s="322"/>
    </row>
    <row r="406" spans="1:3" ht="15">
      <c r="A406" s="319"/>
      <c r="C406" s="322"/>
    </row>
    <row r="407" spans="1:3" ht="15">
      <c r="A407" s="319"/>
      <c r="C407" s="322"/>
    </row>
    <row r="408" spans="1:3" ht="15">
      <c r="A408" s="319"/>
      <c r="C408" s="322"/>
    </row>
    <row r="409" spans="1:3" ht="15">
      <c r="A409" s="319"/>
      <c r="C409" s="322"/>
    </row>
    <row r="410" spans="1:3" ht="15">
      <c r="A410" s="319"/>
      <c r="C410" s="322"/>
    </row>
    <row r="411" spans="1:3" ht="15">
      <c r="A411" s="319"/>
      <c r="C411" s="322"/>
    </row>
    <row r="412" spans="1:3" ht="15">
      <c r="A412" s="319"/>
      <c r="C412" s="322"/>
    </row>
    <row r="413" spans="1:3" ht="15">
      <c r="A413" s="319"/>
      <c r="C413" s="322"/>
    </row>
    <row r="414" spans="1:3" ht="15">
      <c r="A414" s="319"/>
      <c r="C414" s="322"/>
    </row>
    <row r="415" spans="1:3" ht="15">
      <c r="A415" s="319"/>
      <c r="C415" s="322"/>
    </row>
    <row r="416" spans="1:3" ht="15">
      <c r="A416" s="319"/>
      <c r="C416" s="322"/>
    </row>
    <row r="417" spans="1:3" ht="15">
      <c r="A417" s="319"/>
      <c r="C417" s="322"/>
    </row>
    <row r="418" spans="1:3" ht="15">
      <c r="A418" s="319"/>
      <c r="C418" s="322"/>
    </row>
    <row r="419" spans="1:3" ht="15">
      <c r="A419" s="319"/>
      <c r="C419" s="322"/>
    </row>
    <row r="420" spans="1:3" ht="15">
      <c r="A420" s="319"/>
      <c r="C420" s="322"/>
    </row>
    <row r="421" spans="1:3" ht="15">
      <c r="A421" s="319"/>
      <c r="C421" s="322"/>
    </row>
    <row r="422" spans="1:3" ht="15">
      <c r="A422" s="319"/>
      <c r="C422" s="322"/>
    </row>
    <row r="423" spans="1:3" ht="15">
      <c r="A423" s="319"/>
      <c r="C423" s="322"/>
    </row>
    <row r="424" spans="1:3" ht="15">
      <c r="A424" s="319"/>
      <c r="C424" s="322"/>
    </row>
    <row r="425" spans="1:3" ht="15">
      <c r="A425" s="319"/>
      <c r="C425" s="322"/>
    </row>
    <row r="426" spans="1:3" ht="15">
      <c r="A426" s="319"/>
      <c r="C426" s="322"/>
    </row>
    <row r="427" spans="1:3" ht="15">
      <c r="A427" s="319"/>
      <c r="C427" s="322"/>
    </row>
    <row r="428" spans="1:3" ht="15">
      <c r="A428" s="319"/>
      <c r="C428" s="322"/>
    </row>
    <row r="429" spans="1:3" ht="15">
      <c r="A429" s="319"/>
      <c r="C429" s="322"/>
    </row>
    <row r="430" spans="1:3" ht="15">
      <c r="A430" s="319"/>
      <c r="C430" s="322"/>
    </row>
    <row r="431" spans="1:3" ht="15">
      <c r="A431" s="319"/>
      <c r="C431" s="322"/>
    </row>
    <row r="432" spans="1:3" ht="15">
      <c r="A432" s="319"/>
      <c r="C432" s="322"/>
    </row>
    <row r="433" spans="1:3" ht="15">
      <c r="A433" s="319"/>
      <c r="C433" s="322"/>
    </row>
    <row r="434" spans="1:3" ht="15">
      <c r="A434" s="319"/>
      <c r="C434" s="322"/>
    </row>
    <row r="435" spans="1:3" ht="15">
      <c r="A435" s="319"/>
      <c r="C435" s="322"/>
    </row>
    <row r="436" spans="1:3" ht="15">
      <c r="A436" s="319"/>
      <c r="C436" s="322"/>
    </row>
    <row r="437" spans="1:3" ht="15">
      <c r="A437" s="319"/>
      <c r="C437" s="322"/>
    </row>
    <row r="438" spans="1:3" ht="15">
      <c r="A438" s="319"/>
      <c r="C438" s="322"/>
    </row>
    <row r="439" spans="1:3" ht="15">
      <c r="A439" s="319"/>
      <c r="C439" s="322"/>
    </row>
    <row r="440" spans="1:3" ht="15">
      <c r="A440" s="319"/>
      <c r="C440" s="322"/>
    </row>
    <row r="441" spans="1:3" ht="15">
      <c r="A441" s="319"/>
      <c r="C441" s="322"/>
    </row>
    <row r="442" spans="1:3" ht="15">
      <c r="A442" s="319"/>
      <c r="C442" s="322"/>
    </row>
    <row r="443" spans="1:3" ht="15">
      <c r="A443" s="319"/>
      <c r="C443" s="322"/>
    </row>
    <row r="444" spans="1:3" ht="15">
      <c r="A444" s="319"/>
      <c r="C444" s="322"/>
    </row>
    <row r="445" spans="1:3" ht="15">
      <c r="A445" s="319"/>
      <c r="C445" s="322"/>
    </row>
    <row r="446" spans="1:3" ht="15">
      <c r="A446" s="319"/>
      <c r="C446" s="322"/>
    </row>
    <row r="447" spans="1:3" ht="15">
      <c r="A447" s="319"/>
      <c r="C447" s="322"/>
    </row>
    <row r="448" spans="1:3" ht="15">
      <c r="A448" s="319"/>
      <c r="C448" s="322"/>
    </row>
    <row r="449" spans="1:3" ht="15">
      <c r="A449" s="319"/>
      <c r="C449" s="322"/>
    </row>
    <row r="450" spans="1:3" ht="15">
      <c r="A450" s="319"/>
      <c r="C450" s="322"/>
    </row>
    <row r="451" spans="1:3" ht="15">
      <c r="A451" s="319"/>
      <c r="C451" s="322"/>
    </row>
    <row r="452" spans="1:3" ht="15">
      <c r="A452" s="319"/>
      <c r="C452" s="322"/>
    </row>
    <row r="453" spans="1:3" ht="15">
      <c r="A453" s="319"/>
      <c r="C453" s="322"/>
    </row>
    <row r="454" spans="1:3" ht="15">
      <c r="A454" s="319"/>
      <c r="C454" s="322"/>
    </row>
    <row r="455" spans="1:3" ht="15">
      <c r="A455" s="319"/>
      <c r="C455" s="322"/>
    </row>
    <row r="456" spans="1:3" ht="15">
      <c r="A456" s="319"/>
      <c r="C456" s="322"/>
    </row>
    <row r="457" spans="1:3" ht="15">
      <c r="A457" s="319"/>
      <c r="C457" s="322"/>
    </row>
    <row r="458" spans="1:3" ht="15">
      <c r="A458" s="319"/>
      <c r="C458" s="322"/>
    </row>
    <row r="459" spans="1:3" ht="15">
      <c r="A459" s="319"/>
      <c r="C459" s="322"/>
    </row>
    <row r="460" spans="1:3" ht="15">
      <c r="A460" s="319"/>
      <c r="C460" s="322"/>
    </row>
    <row r="461" spans="1:3" ht="15">
      <c r="A461" s="319"/>
      <c r="C461" s="322"/>
    </row>
    <row r="462" spans="1:3" ht="15">
      <c r="A462" s="319"/>
      <c r="C462" s="322"/>
    </row>
    <row r="463" spans="1:3" ht="15">
      <c r="A463" s="319"/>
      <c r="C463" s="322"/>
    </row>
    <row r="464" spans="1:3" ht="15">
      <c r="A464" s="319"/>
      <c r="C464" s="322"/>
    </row>
    <row r="465" spans="1:3" ht="15">
      <c r="A465" s="319"/>
      <c r="C465" s="322"/>
    </row>
    <row r="466" spans="1:3" ht="15">
      <c r="A466" s="319"/>
      <c r="C466" s="322"/>
    </row>
    <row r="467" spans="1:3" ht="15">
      <c r="A467" s="319"/>
      <c r="C467" s="322"/>
    </row>
    <row r="468" spans="1:3" ht="15">
      <c r="A468" s="319"/>
      <c r="C468" s="322"/>
    </row>
    <row r="469" spans="1:3" ht="15">
      <c r="A469" s="319"/>
      <c r="C469" s="322"/>
    </row>
    <row r="470" spans="1:3" ht="15">
      <c r="A470" s="319"/>
      <c r="C470" s="322"/>
    </row>
    <row r="471" spans="1:3" ht="15">
      <c r="A471" s="319"/>
      <c r="C471" s="322"/>
    </row>
    <row r="472" spans="1:3" ht="15">
      <c r="A472" s="319"/>
      <c r="C472" s="322"/>
    </row>
    <row r="473" spans="1:3" ht="15">
      <c r="A473" s="319"/>
      <c r="C473" s="322"/>
    </row>
    <row r="474" spans="1:3" ht="15">
      <c r="A474" s="319"/>
      <c r="C474" s="322"/>
    </row>
    <row r="475" spans="1:3" ht="15">
      <c r="A475" s="319"/>
      <c r="C475" s="322"/>
    </row>
    <row r="476" spans="1:3" ht="15">
      <c r="A476" s="319"/>
      <c r="C476" s="322"/>
    </row>
    <row r="477" spans="1:3" ht="15">
      <c r="A477" s="319"/>
      <c r="C477" s="322"/>
    </row>
    <row r="478" spans="1:3" ht="15">
      <c r="A478" s="319"/>
      <c r="C478" s="322"/>
    </row>
    <row r="479" spans="1:3" ht="15">
      <c r="A479" s="319"/>
      <c r="C479" s="322"/>
    </row>
    <row r="480" spans="1:3" ht="15">
      <c r="A480" s="319"/>
      <c r="C480" s="322"/>
    </row>
    <row r="481" spans="1:3" ht="15">
      <c r="A481" s="319"/>
      <c r="C481" s="322"/>
    </row>
    <row r="482" spans="1:3" ht="15">
      <c r="A482" s="319"/>
      <c r="C482" s="322"/>
    </row>
    <row r="483" spans="1:3" ht="15">
      <c r="A483" s="319"/>
      <c r="C483" s="322"/>
    </row>
    <row r="484" spans="1:3" ht="15">
      <c r="A484" s="319"/>
      <c r="C484" s="322"/>
    </row>
    <row r="485" spans="1:3" ht="15">
      <c r="A485" s="319"/>
      <c r="C485" s="322"/>
    </row>
    <row r="486" spans="1:3" ht="15">
      <c r="A486" s="319"/>
      <c r="C486" s="322"/>
    </row>
    <row r="487" spans="1:3" ht="15">
      <c r="A487" s="319"/>
      <c r="C487" s="322"/>
    </row>
    <row r="488" spans="1:3" ht="15">
      <c r="A488" s="319"/>
      <c r="C488" s="322"/>
    </row>
    <row r="489" spans="1:3" ht="15">
      <c r="A489" s="319"/>
      <c r="C489" s="322"/>
    </row>
    <row r="490" spans="1:3" ht="15">
      <c r="A490" s="319"/>
      <c r="C490" s="322"/>
    </row>
    <row r="491" spans="1:3" ht="15">
      <c r="A491" s="319"/>
      <c r="C491" s="322"/>
    </row>
    <row r="492" spans="1:3" ht="15">
      <c r="A492" s="319"/>
      <c r="C492" s="322"/>
    </row>
    <row r="493" spans="1:3" ht="15">
      <c r="A493" s="319"/>
      <c r="C493" s="322"/>
    </row>
    <row r="494" spans="1:3" ht="15">
      <c r="A494" s="319"/>
      <c r="C494" s="322"/>
    </row>
    <row r="495" spans="1:3" ht="15">
      <c r="A495" s="319"/>
      <c r="C495" s="322"/>
    </row>
    <row r="496" spans="1:3" ht="15">
      <c r="A496" s="319"/>
      <c r="C496" s="322"/>
    </row>
    <row r="497" spans="1:3" ht="15">
      <c r="A497" s="319"/>
      <c r="C497" s="322"/>
    </row>
    <row r="498" spans="1:3" ht="15">
      <c r="A498" s="319"/>
      <c r="C498" s="322"/>
    </row>
    <row r="499" spans="1:3" ht="15">
      <c r="A499" s="319"/>
      <c r="C499" s="322"/>
    </row>
    <row r="500" spans="1:3" ht="15">
      <c r="A500" s="319"/>
      <c r="C500" s="322"/>
    </row>
    <row r="501" spans="1:3" ht="15">
      <c r="A501" s="319"/>
      <c r="C501" s="322"/>
    </row>
    <row r="502" spans="1:3" ht="15">
      <c r="A502" s="319"/>
      <c r="C502" s="322"/>
    </row>
    <row r="503" spans="1:3" ht="15">
      <c r="A503" s="319"/>
      <c r="C503" s="322"/>
    </row>
    <row r="504" spans="1:3" ht="15">
      <c r="A504" s="319"/>
      <c r="C504" s="322"/>
    </row>
    <row r="505" spans="1:3" ht="15">
      <c r="A505" s="319"/>
      <c r="C505" s="322"/>
    </row>
    <row r="506" spans="1:3" ht="15">
      <c r="A506" s="319"/>
      <c r="C506" s="322"/>
    </row>
    <row r="507" spans="1:3" ht="15">
      <c r="A507" s="319"/>
      <c r="C507" s="322"/>
    </row>
    <row r="508" spans="1:3" ht="15">
      <c r="A508" s="319"/>
      <c r="C508" s="322"/>
    </row>
    <row r="509" spans="1:3" ht="15">
      <c r="A509" s="319"/>
      <c r="C509" s="322"/>
    </row>
    <row r="510" spans="1:3" ht="15">
      <c r="A510" s="319"/>
      <c r="C510" s="322"/>
    </row>
    <row r="511" spans="1:3" ht="15">
      <c r="A511" s="319"/>
      <c r="C511" s="322"/>
    </row>
    <row r="512" spans="1:3" ht="15">
      <c r="A512" s="319"/>
      <c r="C512" s="322"/>
    </row>
    <row r="513" spans="1:3" ht="15">
      <c r="A513" s="319"/>
      <c r="C513" s="322"/>
    </row>
    <row r="514" spans="1:3" ht="15">
      <c r="A514" s="319"/>
      <c r="C514" s="322"/>
    </row>
    <row r="515" spans="1:3" ht="15">
      <c r="A515" s="319"/>
      <c r="C515" s="322"/>
    </row>
    <row r="516" spans="1:3" ht="15">
      <c r="A516" s="319"/>
      <c r="C516" s="322"/>
    </row>
    <row r="517" spans="1:3" ht="15">
      <c r="A517" s="319"/>
      <c r="C517" s="322"/>
    </row>
    <row r="518" spans="1:3" ht="15">
      <c r="A518" s="319"/>
      <c r="C518" s="322"/>
    </row>
    <row r="519" spans="1:3" ht="15">
      <c r="A519" s="319"/>
      <c r="C519" s="322"/>
    </row>
    <row r="520" spans="1:3" ht="15">
      <c r="A520" s="319"/>
      <c r="C520" s="322"/>
    </row>
    <row r="521" spans="1:3" ht="15">
      <c r="A521" s="319"/>
      <c r="C521" s="322"/>
    </row>
    <row r="522" spans="1:3" ht="15">
      <c r="A522" s="319"/>
      <c r="C522" s="322"/>
    </row>
    <row r="523" spans="1:3" ht="15">
      <c r="A523" s="319"/>
      <c r="C523" s="322"/>
    </row>
    <row r="524" spans="1:3" ht="15">
      <c r="A524" s="319"/>
      <c r="C524" s="322"/>
    </row>
    <row r="525" spans="1:3" ht="15">
      <c r="A525" s="319"/>
      <c r="C525" s="322"/>
    </row>
    <row r="526" spans="1:3" ht="15">
      <c r="A526" s="319"/>
      <c r="C526" s="322"/>
    </row>
    <row r="527" spans="1:3" ht="15">
      <c r="A527" s="319"/>
      <c r="C527" s="322"/>
    </row>
    <row r="528" spans="1:3" ht="15">
      <c r="A528" s="319"/>
      <c r="C528" s="322"/>
    </row>
    <row r="529" spans="1:3" ht="15">
      <c r="A529" s="319"/>
      <c r="C529" s="322"/>
    </row>
    <row r="530" spans="1:3" ht="15">
      <c r="A530" s="319"/>
      <c r="C530" s="322"/>
    </row>
    <row r="531" spans="1:3" ht="15">
      <c r="A531" s="319"/>
      <c r="C531" s="322"/>
    </row>
    <row r="532" spans="1:3" ht="15">
      <c r="A532" s="319"/>
      <c r="C532" s="322"/>
    </row>
    <row r="533" spans="1:3" ht="15">
      <c r="A533" s="319"/>
      <c r="C533" s="322"/>
    </row>
    <row r="534" spans="1:3" ht="15">
      <c r="A534" s="319"/>
      <c r="C534" s="322"/>
    </row>
    <row r="535" spans="1:3" ht="15">
      <c r="A535" s="319"/>
      <c r="C535" s="322"/>
    </row>
    <row r="536" spans="1:3" ht="15">
      <c r="A536" s="319"/>
      <c r="C536" s="322"/>
    </row>
    <row r="537" spans="1:3" ht="15">
      <c r="A537" s="319"/>
      <c r="C537" s="322"/>
    </row>
    <row r="538" spans="1:3" ht="15">
      <c r="A538" s="319"/>
      <c r="C538" s="322"/>
    </row>
    <row r="539" spans="1:3" ht="15">
      <c r="A539" s="319"/>
      <c r="C539" s="322"/>
    </row>
    <row r="540" spans="1:3" ht="15">
      <c r="A540" s="319"/>
      <c r="C540" s="322"/>
    </row>
    <row r="541" spans="1:3" ht="15">
      <c r="A541" s="319"/>
      <c r="C541" s="322"/>
    </row>
    <row r="542" spans="1:3" ht="15">
      <c r="A542" s="319"/>
      <c r="C542" s="322"/>
    </row>
    <row r="543" spans="1:3" ht="15">
      <c r="A543" s="319"/>
      <c r="C543" s="322"/>
    </row>
    <row r="544" spans="1:3" ht="15">
      <c r="A544" s="319"/>
      <c r="C544" s="322"/>
    </row>
    <row r="545" spans="1:3" ht="15">
      <c r="A545" s="319"/>
      <c r="C545" s="322"/>
    </row>
    <row r="546" spans="1:3" ht="15">
      <c r="A546" s="319"/>
      <c r="C546" s="322"/>
    </row>
    <row r="547" spans="1:3" ht="15">
      <c r="A547" s="319"/>
      <c r="C547" s="322"/>
    </row>
    <row r="548" spans="1:3" ht="15">
      <c r="A548" s="319"/>
      <c r="C548" s="322"/>
    </row>
    <row r="549" spans="1:3" ht="15">
      <c r="A549" s="319"/>
      <c r="C549" s="322"/>
    </row>
    <row r="550" spans="1:3" ht="15">
      <c r="A550" s="319"/>
      <c r="C550" s="322"/>
    </row>
    <row r="551" spans="1:3" ht="15">
      <c r="A551" s="319"/>
      <c r="C551" s="322"/>
    </row>
    <row r="552" spans="1:3" ht="15">
      <c r="A552" s="319"/>
      <c r="C552" s="322"/>
    </row>
    <row r="553" spans="1:3" ht="15">
      <c r="A553" s="319"/>
      <c r="C553" s="322"/>
    </row>
    <row r="554" spans="1:3" ht="15">
      <c r="A554" s="319"/>
      <c r="C554" s="322"/>
    </row>
    <row r="555" spans="1:3" ht="15">
      <c r="A555" s="319"/>
      <c r="C555" s="322"/>
    </row>
    <row r="556" spans="1:3" ht="15">
      <c r="A556" s="319"/>
      <c r="C556" s="322"/>
    </row>
    <row r="557" spans="1:3" ht="15">
      <c r="A557" s="319"/>
      <c r="C557" s="322"/>
    </row>
    <row r="558" spans="1:3" ht="15">
      <c r="A558" s="319"/>
      <c r="C558" s="322"/>
    </row>
    <row r="559" spans="1:3" ht="15">
      <c r="A559" s="319"/>
      <c r="C559" s="322"/>
    </row>
    <row r="560" spans="1:3" ht="15">
      <c r="A560" s="319"/>
      <c r="C560" s="322"/>
    </row>
    <row r="561" spans="1:3" ht="15">
      <c r="A561" s="319"/>
      <c r="C561" s="322"/>
    </row>
    <row r="562" spans="1:3" ht="15">
      <c r="A562" s="319"/>
      <c r="C562" s="322"/>
    </row>
    <row r="563" spans="1:3" ht="15">
      <c r="A563" s="319"/>
      <c r="C563" s="322"/>
    </row>
    <row r="564" spans="1:3" ht="15">
      <c r="A564" s="319"/>
      <c r="C564" s="322"/>
    </row>
    <row r="565" spans="1:3" ht="15">
      <c r="A565" s="319"/>
      <c r="C565" s="322"/>
    </row>
    <row r="566" spans="1:3" ht="15">
      <c r="A566" s="319"/>
      <c r="C566" s="322"/>
    </row>
    <row r="567" spans="1:3" ht="15">
      <c r="A567" s="319"/>
      <c r="C567" s="322"/>
    </row>
    <row r="568" spans="1:3" ht="15">
      <c r="A568" s="319"/>
      <c r="C568" s="322"/>
    </row>
    <row r="569" spans="1:3" ht="15">
      <c r="A569" s="319"/>
      <c r="C569" s="322"/>
    </row>
    <row r="570" spans="1:3" ht="15">
      <c r="A570" s="319"/>
      <c r="C570" s="322"/>
    </row>
    <row r="571" spans="1:3" ht="15">
      <c r="A571" s="319"/>
      <c r="C571" s="322"/>
    </row>
    <row r="572" spans="1:3" ht="15">
      <c r="A572" s="319"/>
      <c r="C572" s="322"/>
    </row>
    <row r="573" spans="1:3" ht="15">
      <c r="A573" s="319"/>
      <c r="C573" s="322"/>
    </row>
    <row r="574" spans="1:3" ht="15">
      <c r="A574" s="319"/>
      <c r="C574" s="322"/>
    </row>
    <row r="575" spans="1:3" ht="15">
      <c r="A575" s="319"/>
      <c r="C575" s="322"/>
    </row>
    <row r="576" spans="1:3" ht="15">
      <c r="A576" s="319"/>
      <c r="C576" s="322"/>
    </row>
    <row r="577" spans="1:3" ht="15">
      <c r="A577" s="319"/>
      <c r="C577" s="322"/>
    </row>
    <row r="578" spans="1:3" ht="15">
      <c r="A578" s="319"/>
      <c r="C578" s="322"/>
    </row>
    <row r="579" spans="1:3" ht="15">
      <c r="A579" s="319"/>
      <c r="C579" s="322"/>
    </row>
    <row r="580" spans="1:3" ht="15">
      <c r="A580" s="319"/>
      <c r="C580" s="322"/>
    </row>
    <row r="581" spans="1:3" ht="15">
      <c r="A581" s="319"/>
      <c r="C581" s="322"/>
    </row>
    <row r="582" spans="1:3" ht="15">
      <c r="A582" s="319"/>
      <c r="C582" s="322"/>
    </row>
    <row r="583" spans="1:3" ht="15">
      <c r="A583" s="319"/>
      <c r="C583" s="322"/>
    </row>
    <row r="584" spans="1:3" ht="15">
      <c r="A584" s="319"/>
      <c r="C584" s="322"/>
    </row>
    <row r="585" spans="1:3" ht="15">
      <c r="A585" s="319"/>
      <c r="C585" s="322"/>
    </row>
    <row r="586" spans="1:3" ht="15">
      <c r="A586" s="319"/>
      <c r="C586" s="322"/>
    </row>
    <row r="587" spans="1:3" ht="15">
      <c r="A587" s="319"/>
      <c r="C587" s="322"/>
    </row>
    <row r="588" spans="1:3" ht="15">
      <c r="A588" s="319"/>
      <c r="C588" s="322"/>
    </row>
    <row r="589" spans="1:3" ht="15">
      <c r="A589" s="319"/>
      <c r="C589" s="322"/>
    </row>
    <row r="590" spans="1:3" ht="15">
      <c r="A590" s="319"/>
      <c r="C590" s="322"/>
    </row>
    <row r="591" spans="1:3" ht="15">
      <c r="A591" s="319"/>
      <c r="C591" s="322"/>
    </row>
    <row r="592" spans="1:3" ht="15">
      <c r="A592" s="319"/>
      <c r="C592" s="322"/>
    </row>
    <row r="593" spans="1:3" ht="15">
      <c r="A593" s="319"/>
      <c r="C593" s="322"/>
    </row>
    <row r="594" spans="1:3" ht="15">
      <c r="A594" s="319"/>
      <c r="C594" s="322"/>
    </row>
    <row r="595" spans="1:3" ht="15">
      <c r="A595" s="319"/>
      <c r="C595" s="322"/>
    </row>
    <row r="596" spans="1:3" ht="15">
      <c r="A596" s="319"/>
      <c r="C596" s="322"/>
    </row>
    <row r="597" spans="1:3" ht="15">
      <c r="A597" s="319"/>
      <c r="C597" s="322"/>
    </row>
    <row r="598" spans="1:3" ht="15">
      <c r="A598" s="319"/>
      <c r="C598" s="322"/>
    </row>
    <row r="599" spans="1:3" ht="15">
      <c r="A599" s="319"/>
      <c r="C599" s="322"/>
    </row>
    <row r="600" spans="1:3" ht="15">
      <c r="A600" s="319"/>
      <c r="C600" s="322"/>
    </row>
    <row r="601" spans="1:3" ht="15">
      <c r="A601" s="319"/>
      <c r="C601" s="322"/>
    </row>
    <row r="602" spans="1:3" ht="15">
      <c r="A602" s="319"/>
      <c r="C602" s="322"/>
    </row>
    <row r="603" spans="1:3" ht="15">
      <c r="A603" s="319"/>
      <c r="C603" s="322"/>
    </row>
    <row r="604" spans="1:3" ht="15">
      <c r="A604" s="319"/>
      <c r="C604" s="322"/>
    </row>
    <row r="605" spans="1:3" ht="15">
      <c r="A605" s="319"/>
      <c r="C605" s="322"/>
    </row>
    <row r="606" spans="1:3" ht="15">
      <c r="A606" s="319"/>
      <c r="C606" s="322"/>
    </row>
    <row r="607" spans="1:3" ht="15">
      <c r="A607" s="319"/>
      <c r="C607" s="322"/>
    </row>
    <row r="608" spans="1:3" ht="15">
      <c r="A608" s="319"/>
      <c r="C608" s="322"/>
    </row>
    <row r="609" spans="1:3" ht="15">
      <c r="A609" s="319"/>
      <c r="C609" s="322"/>
    </row>
    <row r="610" spans="1:3" ht="15">
      <c r="A610" s="319"/>
      <c r="C610" s="322"/>
    </row>
    <row r="611" spans="1:3" ht="15">
      <c r="A611" s="319"/>
      <c r="C611" s="322"/>
    </row>
    <row r="612" spans="1:3" ht="15">
      <c r="A612" s="319"/>
      <c r="C612" s="322"/>
    </row>
    <row r="613" spans="1:3" ht="15">
      <c r="A613" s="319"/>
      <c r="C613" s="322"/>
    </row>
    <row r="614" spans="1:3" ht="15">
      <c r="A614" s="319"/>
      <c r="C614" s="322"/>
    </row>
    <row r="615" spans="1:3" ht="15">
      <c r="A615" s="319"/>
      <c r="C615" s="322"/>
    </row>
    <row r="616" spans="1:3" ht="15">
      <c r="A616" s="319"/>
      <c r="C616" s="322"/>
    </row>
    <row r="617" spans="1:3" ht="15">
      <c r="A617" s="319"/>
      <c r="C617" s="322"/>
    </row>
    <row r="618" spans="1:3" ht="15">
      <c r="A618" s="319"/>
      <c r="C618" s="322"/>
    </row>
    <row r="619" spans="1:3" ht="15">
      <c r="A619" s="319"/>
      <c r="C619" s="322"/>
    </row>
    <row r="620" spans="1:3" ht="15">
      <c r="A620" s="319"/>
      <c r="C620" s="322"/>
    </row>
    <row r="621" spans="1:3" ht="15">
      <c r="A621" s="319"/>
      <c r="C621" s="322"/>
    </row>
  </sheetData>
  <sheetProtection/>
  <autoFilter ref="A9:S44"/>
  <mergeCells count="14">
    <mergeCell ref="D7:D8"/>
    <mergeCell ref="E7:E8"/>
    <mergeCell ref="F7:F8"/>
    <mergeCell ref="H7:I7"/>
    <mergeCell ref="J7:K7"/>
    <mergeCell ref="L7:M7"/>
    <mergeCell ref="N7:N8"/>
    <mergeCell ref="H57:J57"/>
    <mergeCell ref="A1:N1"/>
    <mergeCell ref="A3:N3"/>
    <mergeCell ref="A5:N5"/>
    <mergeCell ref="A7:A8"/>
    <mergeCell ref="B7:B8"/>
    <mergeCell ref="C7:C8"/>
  </mergeCells>
  <printOptions horizontalCentered="1"/>
  <pageMargins left="0.11811023622047245" right="0.11811023622047245" top="0.3937007874015748" bottom="0.3937007874015748" header="0.4330708661417323" footer="0.1968503937007874"/>
  <pageSetup cellComments="asDisplayed" firstPageNumber="1" useFirstPageNumber="1" horizontalDpi="600" verticalDpi="600" orientation="landscape" paperSize="9" scale="87" r:id="rId1"/>
  <headerFooter alignWithMargins="0"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P357"/>
  <sheetViews>
    <sheetView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3.8515625" style="121" customWidth="1"/>
    <col min="2" max="2" width="15.00390625" style="213" hidden="1" customWidth="1"/>
    <col min="3" max="3" width="48.8515625" style="86" customWidth="1"/>
    <col min="4" max="4" width="8.7109375" style="120" customWidth="1"/>
    <col min="5" max="5" width="7.7109375" style="121" customWidth="1"/>
    <col min="6" max="6" width="11.00390625" style="172" bestFit="1" customWidth="1"/>
    <col min="7" max="7" width="11.00390625" style="172" customWidth="1"/>
    <col min="8" max="8" width="9.421875" style="172" customWidth="1"/>
    <col min="9" max="9" width="12.8515625" style="172" customWidth="1"/>
    <col min="10" max="10" width="9.421875" style="172" customWidth="1"/>
    <col min="11" max="11" width="12.7109375" style="172" customWidth="1"/>
    <col min="12" max="12" width="9.421875" style="172" customWidth="1"/>
    <col min="13" max="13" width="11.7109375" style="172" customWidth="1"/>
    <col min="14" max="14" width="15.140625" style="171" bestFit="1" customWidth="1"/>
    <col min="15" max="15" width="12.8515625" style="86" customWidth="1"/>
    <col min="16" max="16" width="12.57421875" style="86" customWidth="1"/>
    <col min="17" max="16384" width="9.140625" style="86" customWidth="1"/>
  </cols>
  <sheetData>
    <row r="1" spans="1:14" s="21" customFormat="1" ht="45" customHeight="1">
      <c r="A1" s="679" t="str">
        <f>კრებსიტი!A1</f>
        <v>საბავშვო ბაღის აშენების პროექტი სოფელ იორმუღანლოში</v>
      </c>
      <c r="B1" s="679"/>
      <c r="C1" s="679"/>
      <c r="D1" s="679"/>
      <c r="E1" s="680"/>
      <c r="F1" s="679"/>
      <c r="G1" s="679"/>
      <c r="H1" s="679"/>
      <c r="I1" s="679"/>
      <c r="J1" s="679"/>
      <c r="K1" s="679"/>
      <c r="L1" s="679"/>
      <c r="M1" s="679"/>
      <c r="N1" s="679"/>
    </row>
    <row r="2" spans="1:14" s="21" customFormat="1" ht="9" customHeight="1">
      <c r="A2" s="218"/>
      <c r="B2" s="138"/>
      <c r="C2" s="217"/>
      <c r="D2" s="555"/>
      <c r="E2" s="555"/>
      <c r="F2" s="23"/>
      <c r="G2" s="23"/>
      <c r="H2" s="23"/>
      <c r="I2" s="23"/>
      <c r="J2" s="23"/>
      <c r="K2" s="23"/>
      <c r="L2" s="23"/>
      <c r="M2" s="23"/>
      <c r="N2" s="23"/>
    </row>
    <row r="3" spans="1:14" s="21" customFormat="1" ht="19.5" customHeight="1">
      <c r="A3" s="681" t="s">
        <v>750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</row>
    <row r="4" spans="1:14" s="21" customFormat="1" ht="9" customHeight="1">
      <c r="A4" s="24"/>
      <c r="B4" s="90"/>
      <c r="C4" s="25"/>
      <c r="D4" s="24"/>
      <c r="E4" s="24"/>
      <c r="F4" s="26"/>
      <c r="G4" s="26"/>
      <c r="H4" s="26"/>
      <c r="I4" s="26"/>
      <c r="J4" s="26"/>
      <c r="K4" s="26"/>
      <c r="L4" s="26"/>
      <c r="M4" s="26"/>
      <c r="N4" s="26"/>
    </row>
    <row r="5" spans="1:14" s="27" customFormat="1" ht="18.75" customHeight="1">
      <c r="A5" s="682" t="s">
        <v>749</v>
      </c>
      <c r="B5" s="682"/>
      <c r="C5" s="682"/>
      <c r="D5" s="682"/>
      <c r="E5" s="683"/>
      <c r="F5" s="682"/>
      <c r="G5" s="682"/>
      <c r="H5" s="682"/>
      <c r="I5" s="682"/>
      <c r="J5" s="682"/>
      <c r="K5" s="682"/>
      <c r="L5" s="682"/>
      <c r="M5" s="682"/>
      <c r="N5" s="682"/>
    </row>
    <row r="6" spans="1:14" s="21" customFormat="1" ht="15" customHeight="1" thickBot="1">
      <c r="A6" s="28"/>
      <c r="B6" s="91"/>
      <c r="C6" s="29"/>
      <c r="D6" s="28"/>
      <c r="E6" s="28"/>
      <c r="F6" s="30"/>
      <c r="G6" s="30"/>
      <c r="H6" s="30"/>
      <c r="I6" s="30"/>
      <c r="J6" s="30"/>
      <c r="K6" s="30"/>
      <c r="L6" s="30"/>
      <c r="M6" s="30"/>
      <c r="N6" s="30"/>
    </row>
    <row r="7" spans="1:14" s="31" customFormat="1" ht="36" customHeight="1" thickBot="1" thickTop="1">
      <c r="A7" s="676" t="s">
        <v>0</v>
      </c>
      <c r="B7" s="684" t="s">
        <v>49</v>
      </c>
      <c r="C7" s="675" t="s">
        <v>50</v>
      </c>
      <c r="D7" s="676" t="s">
        <v>51</v>
      </c>
      <c r="E7" s="676" t="s">
        <v>52</v>
      </c>
      <c r="F7" s="677" t="s">
        <v>53</v>
      </c>
      <c r="G7" s="634" t="s">
        <v>853</v>
      </c>
      <c r="H7" s="675" t="s">
        <v>54</v>
      </c>
      <c r="I7" s="675"/>
      <c r="J7" s="675" t="s">
        <v>55</v>
      </c>
      <c r="K7" s="675"/>
      <c r="L7" s="675" t="s">
        <v>56</v>
      </c>
      <c r="M7" s="675"/>
      <c r="N7" s="675" t="s">
        <v>57</v>
      </c>
    </row>
    <row r="8" spans="1:14" s="31" customFormat="1" ht="36" customHeight="1" thickBot="1" thickTop="1">
      <c r="A8" s="676"/>
      <c r="B8" s="684"/>
      <c r="C8" s="675"/>
      <c r="D8" s="676"/>
      <c r="E8" s="676"/>
      <c r="F8" s="677"/>
      <c r="G8" s="634" t="s">
        <v>858</v>
      </c>
      <c r="H8" s="19" t="s">
        <v>58</v>
      </c>
      <c r="I8" s="554" t="s">
        <v>59</v>
      </c>
      <c r="J8" s="19" t="s">
        <v>58</v>
      </c>
      <c r="K8" s="554" t="s">
        <v>59</v>
      </c>
      <c r="L8" s="19" t="s">
        <v>58</v>
      </c>
      <c r="M8" s="554" t="s">
        <v>59</v>
      </c>
      <c r="N8" s="675"/>
    </row>
    <row r="9" spans="1:14" s="31" customFormat="1" ht="14.25" customHeight="1" thickBot="1" thickTop="1">
      <c r="A9" s="33">
        <v>1</v>
      </c>
      <c r="B9" s="92">
        <v>2</v>
      </c>
      <c r="C9" s="34">
        <v>3</v>
      </c>
      <c r="D9" s="35">
        <v>4</v>
      </c>
      <c r="E9" s="35">
        <v>5</v>
      </c>
      <c r="F9" s="36">
        <v>6</v>
      </c>
      <c r="G9" s="36"/>
      <c r="H9" s="37">
        <v>7</v>
      </c>
      <c r="I9" s="37">
        <v>8</v>
      </c>
      <c r="J9" s="37">
        <v>9</v>
      </c>
      <c r="K9" s="37">
        <v>10</v>
      </c>
      <c r="L9" s="37">
        <v>11</v>
      </c>
      <c r="M9" s="37">
        <v>12</v>
      </c>
      <c r="N9" s="37">
        <v>13</v>
      </c>
    </row>
    <row r="10" spans="1:14" s="46" customFormat="1" ht="18" customHeight="1" thickTop="1">
      <c r="A10" s="38" t="s">
        <v>5</v>
      </c>
      <c r="B10" s="93"/>
      <c r="C10" s="39" t="s">
        <v>60</v>
      </c>
      <c r="D10" s="40"/>
      <c r="E10" s="41"/>
      <c r="F10" s="42"/>
      <c r="G10" s="42"/>
      <c r="H10" s="43"/>
      <c r="I10" s="44"/>
      <c r="J10" s="44"/>
      <c r="K10" s="44"/>
      <c r="L10" s="44"/>
      <c r="M10" s="44"/>
      <c r="N10" s="44"/>
    </row>
    <row r="11" spans="1:14" ht="51.75" customHeight="1">
      <c r="A11" s="5">
        <v>1</v>
      </c>
      <c r="B11" s="94" t="s">
        <v>12</v>
      </c>
      <c r="C11" s="68" t="s">
        <v>126</v>
      </c>
      <c r="D11" s="69" t="s">
        <v>73</v>
      </c>
      <c r="E11" s="4"/>
      <c r="F11" s="147">
        <f>9.6*9.6*3.75+11*5*3.75+50</f>
        <v>601.8499999999999</v>
      </c>
      <c r="G11" s="147"/>
      <c r="H11" s="83"/>
      <c r="I11" s="84"/>
      <c r="J11" s="83"/>
      <c r="K11" s="84"/>
      <c r="L11" s="83"/>
      <c r="M11" s="84"/>
      <c r="N11" s="84"/>
    </row>
    <row r="12" spans="1:15" ht="18" customHeight="1">
      <c r="A12" s="4"/>
      <c r="B12" s="95"/>
      <c r="C12" s="63" t="s">
        <v>61</v>
      </c>
      <c r="D12" s="5" t="s">
        <v>74</v>
      </c>
      <c r="E12" s="87">
        <v>1</v>
      </c>
      <c r="F12" s="88">
        <f>E12*F11</f>
        <v>601.8499999999999</v>
      </c>
      <c r="G12" s="88"/>
      <c r="H12" s="83"/>
      <c r="I12" s="84"/>
      <c r="J12" s="83"/>
      <c r="K12" s="84"/>
      <c r="L12" s="83"/>
      <c r="M12" s="84"/>
      <c r="N12" s="84"/>
      <c r="O12" s="89"/>
    </row>
    <row r="13" spans="1:15" ht="18" customHeight="1">
      <c r="A13" s="4"/>
      <c r="B13" s="94"/>
      <c r="C13" s="63" t="s">
        <v>72</v>
      </c>
      <c r="D13" s="5" t="s">
        <v>75</v>
      </c>
      <c r="E13" s="99">
        <f>29.5*0.001</f>
        <v>0.029500000000000002</v>
      </c>
      <c r="F13" s="88">
        <f>F11*E13</f>
        <v>17.754575</v>
      </c>
      <c r="G13" s="88"/>
      <c r="H13" s="83"/>
      <c r="I13" s="84"/>
      <c r="J13" s="83"/>
      <c r="K13" s="84"/>
      <c r="L13" s="83"/>
      <c r="M13" s="84"/>
      <c r="N13" s="84"/>
      <c r="O13" s="219"/>
    </row>
    <row r="14" spans="1:14" ht="39" customHeight="1">
      <c r="A14" s="5">
        <f>A11+1</f>
        <v>2</v>
      </c>
      <c r="B14" s="94" t="s">
        <v>3</v>
      </c>
      <c r="C14" s="68" t="s">
        <v>76</v>
      </c>
      <c r="D14" s="69" t="s">
        <v>73</v>
      </c>
      <c r="E14" s="4"/>
      <c r="F14" s="147">
        <f>6*6*0.1+11*5*0.1</f>
        <v>9.1</v>
      </c>
      <c r="G14" s="147"/>
      <c r="H14" s="83"/>
      <c r="I14" s="84"/>
      <c r="J14" s="83"/>
      <c r="K14" s="84"/>
      <c r="L14" s="83"/>
      <c r="M14" s="84"/>
      <c r="N14" s="84"/>
    </row>
    <row r="15" spans="1:14" ht="18" customHeight="1">
      <c r="A15" s="4"/>
      <c r="B15" s="94"/>
      <c r="C15" s="63" t="s">
        <v>61</v>
      </c>
      <c r="D15" s="5" t="s">
        <v>74</v>
      </c>
      <c r="E15" s="87">
        <v>1</v>
      </c>
      <c r="F15" s="88">
        <f>E15*F14</f>
        <v>9.1</v>
      </c>
      <c r="G15" s="88"/>
      <c r="H15" s="83"/>
      <c r="I15" s="84"/>
      <c r="J15" s="83"/>
      <c r="K15" s="84"/>
      <c r="L15" s="83"/>
      <c r="M15" s="84"/>
      <c r="N15" s="84"/>
    </row>
    <row r="16" spans="1:14" ht="39" customHeight="1">
      <c r="A16" s="5">
        <f>A14+1</f>
        <v>3</v>
      </c>
      <c r="B16" s="132" t="s">
        <v>38</v>
      </c>
      <c r="C16" s="68" t="s">
        <v>160</v>
      </c>
      <c r="D16" s="69" t="s">
        <v>81</v>
      </c>
      <c r="E16" s="4"/>
      <c r="F16" s="147">
        <f>((F11+F14)-F21)*1.85</f>
        <v>305.7236</v>
      </c>
      <c r="G16" s="147"/>
      <c r="H16" s="83"/>
      <c r="I16" s="84"/>
      <c r="J16" s="83"/>
      <c r="K16" s="84"/>
      <c r="L16" s="83"/>
      <c r="M16" s="84"/>
      <c r="N16" s="84"/>
    </row>
    <row r="17" spans="1:14" ht="18" customHeight="1">
      <c r="A17" s="4"/>
      <c r="B17" s="95"/>
      <c r="C17" s="63" t="s">
        <v>131</v>
      </c>
      <c r="D17" s="5" t="str">
        <f>D16</f>
        <v>ტონა</v>
      </c>
      <c r="E17" s="87">
        <v>1</v>
      </c>
      <c r="F17" s="88">
        <f>F16</f>
        <v>305.7236</v>
      </c>
      <c r="G17" s="88"/>
      <c r="H17" s="83"/>
      <c r="I17" s="84"/>
      <c r="J17" s="83"/>
      <c r="K17" s="84"/>
      <c r="L17" s="83"/>
      <c r="M17" s="84"/>
      <c r="N17" s="84"/>
    </row>
    <row r="18" spans="1:14" ht="24" customHeight="1">
      <c r="A18" s="5">
        <f>A16+1</f>
        <v>4</v>
      </c>
      <c r="B18" s="94" t="s">
        <v>13</v>
      </c>
      <c r="C18" s="68" t="s">
        <v>134</v>
      </c>
      <c r="D18" s="69" t="s">
        <v>73</v>
      </c>
      <c r="E18" s="4"/>
      <c r="F18" s="147">
        <f>F11+F14-F21</f>
        <v>165.25599999999997</v>
      </c>
      <c r="G18" s="147"/>
      <c r="H18" s="83"/>
      <c r="I18" s="84"/>
      <c r="J18" s="83"/>
      <c r="K18" s="84"/>
      <c r="L18" s="83"/>
      <c r="M18" s="84"/>
      <c r="N18" s="84"/>
    </row>
    <row r="19" spans="1:15" ht="18" customHeight="1">
      <c r="A19" s="4"/>
      <c r="B19" s="95"/>
      <c r="C19" s="63" t="s">
        <v>61</v>
      </c>
      <c r="D19" s="5" t="s">
        <v>74</v>
      </c>
      <c r="E19" s="87">
        <v>1</v>
      </c>
      <c r="F19" s="88">
        <f>E19*F18</f>
        <v>165.25599999999997</v>
      </c>
      <c r="G19" s="88"/>
      <c r="H19" s="83"/>
      <c r="I19" s="84"/>
      <c r="J19" s="83"/>
      <c r="K19" s="84"/>
      <c r="L19" s="83"/>
      <c r="M19" s="84"/>
      <c r="N19" s="84"/>
      <c r="O19" s="89"/>
    </row>
    <row r="20" spans="1:15" ht="17.25">
      <c r="A20" s="4"/>
      <c r="B20" s="94"/>
      <c r="C20" s="63" t="s">
        <v>72</v>
      </c>
      <c r="D20" s="5" t="s">
        <v>75</v>
      </c>
      <c r="E20" s="98">
        <f>3.62*0.001</f>
        <v>0.0036200000000000004</v>
      </c>
      <c r="F20" s="88">
        <f>F18*E20</f>
        <v>0.59822672</v>
      </c>
      <c r="G20" s="88"/>
      <c r="H20" s="83"/>
      <c r="I20" s="84"/>
      <c r="J20" s="83"/>
      <c r="K20" s="84"/>
      <c r="L20" s="83"/>
      <c r="M20" s="84"/>
      <c r="N20" s="84"/>
      <c r="O20" s="219"/>
    </row>
    <row r="21" spans="1:14" ht="21" customHeight="1">
      <c r="A21" s="5">
        <f>A18+1</f>
        <v>5</v>
      </c>
      <c r="B21" s="94" t="s">
        <v>20</v>
      </c>
      <c r="C21" s="68" t="s">
        <v>127</v>
      </c>
      <c r="D21" s="69" t="s">
        <v>73</v>
      </c>
      <c r="E21" s="4"/>
      <c r="F21" s="147">
        <f>F11-((5.6*5.6*3.3)+(7.6*2.1)*3.3)</f>
        <v>445.69399999999996</v>
      </c>
      <c r="G21" s="147"/>
      <c r="H21" s="83"/>
      <c r="I21" s="84"/>
      <c r="J21" s="83"/>
      <c r="K21" s="84"/>
      <c r="L21" s="83"/>
      <c r="M21" s="84"/>
      <c r="N21" s="84"/>
    </row>
    <row r="22" spans="1:15" ht="18" customHeight="1">
      <c r="A22" s="4"/>
      <c r="B22" s="94" t="s">
        <v>11</v>
      </c>
      <c r="C22" s="63" t="s">
        <v>128</v>
      </c>
      <c r="D22" s="5" t="s">
        <v>75</v>
      </c>
      <c r="E22" s="98">
        <f>5.13/1000</f>
        <v>0.00513</v>
      </c>
      <c r="F22" s="88">
        <f>F21*E22</f>
        <v>2.2864102199999996</v>
      </c>
      <c r="G22" s="88"/>
      <c r="H22" s="83"/>
      <c r="I22" s="84"/>
      <c r="J22" s="83"/>
      <c r="K22" s="84"/>
      <c r="L22" s="83"/>
      <c r="M22" s="84"/>
      <c r="N22" s="84"/>
      <c r="O22" s="219"/>
    </row>
    <row r="23" spans="1:14" ht="39" customHeight="1">
      <c r="A23" s="5">
        <f>A21+1</f>
        <v>6</v>
      </c>
      <c r="B23" s="94" t="s">
        <v>14</v>
      </c>
      <c r="C23" s="68" t="s">
        <v>129</v>
      </c>
      <c r="D23" s="69" t="s">
        <v>73</v>
      </c>
      <c r="E23" s="4"/>
      <c r="F23" s="147">
        <f>F21</f>
        <v>445.69399999999996</v>
      </c>
      <c r="G23" s="147"/>
      <c r="H23" s="83"/>
      <c r="I23" s="84"/>
      <c r="J23" s="83"/>
      <c r="K23" s="84"/>
      <c r="L23" s="83"/>
      <c r="M23" s="84"/>
      <c r="N23" s="84"/>
    </row>
    <row r="24" spans="1:15" ht="18" customHeight="1">
      <c r="A24" s="4"/>
      <c r="B24" s="173"/>
      <c r="C24" s="63" t="s">
        <v>61</v>
      </c>
      <c r="D24" s="5" t="s">
        <v>74</v>
      </c>
      <c r="E24" s="87">
        <v>1</v>
      </c>
      <c r="F24" s="88">
        <f>E24*F23</f>
        <v>445.69399999999996</v>
      </c>
      <c r="G24" s="88"/>
      <c r="H24" s="83"/>
      <c r="I24" s="84"/>
      <c r="J24" s="83"/>
      <c r="K24" s="84"/>
      <c r="L24" s="83"/>
      <c r="M24" s="84"/>
      <c r="N24" s="84"/>
      <c r="O24" s="89"/>
    </row>
    <row r="25" spans="1:15" ht="18" customHeight="1">
      <c r="A25" s="4"/>
      <c r="B25" s="94"/>
      <c r="C25" s="63" t="s">
        <v>130</v>
      </c>
      <c r="D25" s="5" t="s">
        <v>75</v>
      </c>
      <c r="E25" s="99">
        <f>13*0.001</f>
        <v>0.013000000000000001</v>
      </c>
      <c r="F25" s="88">
        <f>F23*E25</f>
        <v>5.794022</v>
      </c>
      <c r="G25" s="88"/>
      <c r="H25" s="83"/>
      <c r="I25" s="84"/>
      <c r="J25" s="83"/>
      <c r="K25" s="84"/>
      <c r="L25" s="83"/>
      <c r="M25" s="84"/>
      <c r="N25" s="84"/>
      <c r="O25" s="219"/>
    </row>
    <row r="26" spans="1:15" s="61" customFormat="1" ht="39" customHeight="1">
      <c r="A26" s="5">
        <f>A23+1</f>
        <v>7</v>
      </c>
      <c r="B26" s="94" t="s">
        <v>10</v>
      </c>
      <c r="C26" s="68" t="s">
        <v>135</v>
      </c>
      <c r="D26" s="69" t="s">
        <v>73</v>
      </c>
      <c r="E26" s="100"/>
      <c r="F26" s="147">
        <f>6*6*0.2+2.4*7.8*0.2</f>
        <v>10.943999999999999</v>
      </c>
      <c r="G26" s="147"/>
      <c r="H26" s="83"/>
      <c r="I26" s="84"/>
      <c r="J26" s="83"/>
      <c r="K26" s="84"/>
      <c r="L26" s="83"/>
      <c r="M26" s="84"/>
      <c r="N26" s="84"/>
      <c r="O26" s="23"/>
    </row>
    <row r="27" spans="1:14" s="67" customFormat="1" ht="18" customHeight="1">
      <c r="A27" s="4"/>
      <c r="B27" s="123"/>
      <c r="C27" s="63" t="s">
        <v>61</v>
      </c>
      <c r="D27" s="5" t="s">
        <v>74</v>
      </c>
      <c r="E27" s="87">
        <v>1</v>
      </c>
      <c r="F27" s="88">
        <f>E27*F26</f>
        <v>10.943999999999999</v>
      </c>
      <c r="G27" s="88"/>
      <c r="H27" s="83"/>
      <c r="I27" s="84"/>
      <c r="J27" s="83"/>
      <c r="K27" s="84"/>
      <c r="L27" s="83"/>
      <c r="M27" s="84"/>
      <c r="N27" s="84"/>
    </row>
    <row r="28" spans="1:14" s="67" customFormat="1" ht="18" customHeight="1">
      <c r="A28" s="4"/>
      <c r="B28" s="123"/>
      <c r="C28" s="63" t="s">
        <v>136</v>
      </c>
      <c r="D28" s="5" t="s">
        <v>74</v>
      </c>
      <c r="E28" s="101">
        <v>1.15</v>
      </c>
      <c r="F28" s="88">
        <f>E28*F26</f>
        <v>12.585599999999998</v>
      </c>
      <c r="G28" s="88"/>
      <c r="H28" s="83"/>
      <c r="I28" s="84"/>
      <c r="J28" s="83"/>
      <c r="K28" s="84"/>
      <c r="L28" s="83"/>
      <c r="M28" s="84"/>
      <c r="N28" s="84"/>
    </row>
    <row r="29" spans="1:14" s="67" customFormat="1" ht="18" customHeight="1">
      <c r="A29" s="4"/>
      <c r="B29" s="123"/>
      <c r="C29" s="63" t="s">
        <v>77</v>
      </c>
      <c r="D29" s="5" t="s">
        <v>15</v>
      </c>
      <c r="E29" s="101">
        <v>0.02</v>
      </c>
      <c r="F29" s="88">
        <f>F26*E29</f>
        <v>0.21888</v>
      </c>
      <c r="G29" s="88"/>
      <c r="H29" s="83"/>
      <c r="I29" s="84"/>
      <c r="J29" s="83"/>
      <c r="K29" s="84"/>
      <c r="L29" s="83"/>
      <c r="M29" s="84"/>
      <c r="N29" s="84"/>
    </row>
    <row r="30" spans="1:14" s="177" customFormat="1" ht="21" customHeight="1">
      <c r="A30" s="174">
        <f>A26+1</f>
        <v>8</v>
      </c>
      <c r="B30" s="175" t="s">
        <v>10</v>
      </c>
      <c r="C30" s="154" t="s">
        <v>62</v>
      </c>
      <c r="D30" s="69" t="s">
        <v>73</v>
      </c>
      <c r="E30" s="102"/>
      <c r="F30" s="147">
        <f>6*6*0.1+2.4*7.8*0.1</f>
        <v>5.4719999999999995</v>
      </c>
      <c r="G30" s="147"/>
      <c r="H30" s="83"/>
      <c r="I30" s="84"/>
      <c r="J30" s="83"/>
      <c r="K30" s="84"/>
      <c r="L30" s="83"/>
      <c r="M30" s="84"/>
      <c r="N30" s="84"/>
    </row>
    <row r="31" spans="1:14" s="177" customFormat="1" ht="18" customHeight="1">
      <c r="A31" s="5"/>
      <c r="B31" s="123"/>
      <c r="C31" s="63" t="s">
        <v>61</v>
      </c>
      <c r="D31" s="5" t="s">
        <v>74</v>
      </c>
      <c r="E31" s="87">
        <v>1</v>
      </c>
      <c r="F31" s="178">
        <f>F30*E31</f>
        <v>5.4719999999999995</v>
      </c>
      <c r="G31" s="178"/>
      <c r="H31" s="83"/>
      <c r="I31" s="84"/>
      <c r="J31" s="83"/>
      <c r="K31" s="84"/>
      <c r="L31" s="83"/>
      <c r="M31" s="84"/>
      <c r="N31" s="84"/>
    </row>
    <row r="32" spans="1:14" s="177" customFormat="1" ht="18" customHeight="1">
      <c r="A32" s="179"/>
      <c r="B32" s="180"/>
      <c r="C32" s="155" t="s">
        <v>137</v>
      </c>
      <c r="D32" s="5" t="s">
        <v>74</v>
      </c>
      <c r="E32" s="103">
        <v>1.15</v>
      </c>
      <c r="F32" s="178">
        <f>E32*F30</f>
        <v>6.292799999999999</v>
      </c>
      <c r="G32" s="178"/>
      <c r="H32" s="83"/>
      <c r="I32" s="84"/>
      <c r="J32" s="83"/>
      <c r="K32" s="84"/>
      <c r="L32" s="83"/>
      <c r="M32" s="84"/>
      <c r="N32" s="84"/>
    </row>
    <row r="33" spans="1:14" s="177" customFormat="1" ht="18" customHeight="1">
      <c r="A33" s="179"/>
      <c r="B33" s="181"/>
      <c r="C33" s="63" t="s">
        <v>77</v>
      </c>
      <c r="D33" s="5" t="s">
        <v>15</v>
      </c>
      <c r="E33" s="103">
        <v>0.02</v>
      </c>
      <c r="F33" s="178">
        <f>E33*F30</f>
        <v>0.10944</v>
      </c>
      <c r="G33" s="178"/>
      <c r="H33" s="83"/>
      <c r="I33" s="84"/>
      <c r="J33" s="83"/>
      <c r="K33" s="84"/>
      <c r="L33" s="83"/>
      <c r="M33" s="84"/>
      <c r="N33" s="84"/>
    </row>
    <row r="34" spans="1:14" s="46" customFormat="1" ht="18" customHeight="1">
      <c r="A34" s="38" t="s">
        <v>6</v>
      </c>
      <c r="B34" s="141"/>
      <c r="C34" s="39" t="s">
        <v>82</v>
      </c>
      <c r="D34" s="40"/>
      <c r="E34" s="41"/>
      <c r="F34" s="42"/>
      <c r="G34" s="42"/>
      <c r="H34" s="83"/>
      <c r="I34" s="84"/>
      <c r="J34" s="83"/>
      <c r="K34" s="84"/>
      <c r="L34" s="83"/>
      <c r="M34" s="84"/>
      <c r="N34" s="84"/>
    </row>
    <row r="35" spans="1:14" s="46" customFormat="1" ht="21" customHeight="1">
      <c r="A35" s="432"/>
      <c r="B35" s="127"/>
      <c r="C35" s="434" t="s">
        <v>733</v>
      </c>
      <c r="D35" s="433"/>
      <c r="E35" s="101"/>
      <c r="F35" s="42"/>
      <c r="G35" s="42"/>
      <c r="H35" s="83"/>
      <c r="I35" s="84"/>
      <c r="J35" s="83"/>
      <c r="K35" s="84"/>
      <c r="L35" s="83"/>
      <c r="M35" s="84"/>
      <c r="N35" s="84"/>
    </row>
    <row r="36" spans="1:14" s="61" customFormat="1" ht="39" customHeight="1">
      <c r="A36" s="5">
        <f>A30+1</f>
        <v>9</v>
      </c>
      <c r="B36" s="94" t="s">
        <v>4</v>
      </c>
      <c r="C36" s="68" t="s">
        <v>85</v>
      </c>
      <c r="D36" s="69" t="s">
        <v>73</v>
      </c>
      <c r="E36" s="100"/>
      <c r="F36" s="504">
        <f>5.8*5.8*0.1</f>
        <v>3.3640000000000003</v>
      </c>
      <c r="G36" s="504"/>
      <c r="H36" s="83"/>
      <c r="I36" s="84"/>
      <c r="J36" s="83"/>
      <c r="K36" s="84"/>
      <c r="L36" s="83"/>
      <c r="M36" s="84"/>
      <c r="N36" s="84"/>
    </row>
    <row r="37" spans="1:14" s="67" customFormat="1" ht="18" customHeight="1">
      <c r="A37" s="4"/>
      <c r="B37" s="123"/>
      <c r="C37" s="63" t="s">
        <v>61</v>
      </c>
      <c r="D37" s="5" t="s">
        <v>74</v>
      </c>
      <c r="E37" s="87">
        <v>1</v>
      </c>
      <c r="F37" s="88">
        <f>E37*F36</f>
        <v>3.3640000000000003</v>
      </c>
      <c r="G37" s="88"/>
      <c r="H37" s="83"/>
      <c r="I37" s="84"/>
      <c r="J37" s="83"/>
      <c r="K37" s="84"/>
      <c r="L37" s="83"/>
      <c r="M37" s="84"/>
      <c r="N37" s="84"/>
    </row>
    <row r="38" spans="1:14" s="67" customFormat="1" ht="18" customHeight="1">
      <c r="A38" s="4"/>
      <c r="B38" s="123"/>
      <c r="C38" s="128" t="s">
        <v>83</v>
      </c>
      <c r="D38" s="5" t="s">
        <v>74</v>
      </c>
      <c r="E38" s="101">
        <v>1.02</v>
      </c>
      <c r="F38" s="88">
        <f>E38*F36</f>
        <v>3.4312800000000006</v>
      </c>
      <c r="G38" s="88"/>
      <c r="H38" s="83"/>
      <c r="I38" s="84"/>
      <c r="J38" s="83"/>
      <c r="K38" s="84"/>
      <c r="L38" s="83"/>
      <c r="M38" s="84"/>
      <c r="N38" s="84"/>
    </row>
    <row r="39" spans="1:14" s="67" customFormat="1" ht="18" customHeight="1">
      <c r="A39" s="4"/>
      <c r="B39" s="123"/>
      <c r="C39" s="63" t="s">
        <v>77</v>
      </c>
      <c r="D39" s="5" t="s">
        <v>15</v>
      </c>
      <c r="E39" s="87">
        <v>0.62</v>
      </c>
      <c r="F39" s="88">
        <f>F36*E39</f>
        <v>2.08568</v>
      </c>
      <c r="G39" s="88"/>
      <c r="H39" s="83"/>
      <c r="I39" s="84"/>
      <c r="J39" s="83"/>
      <c r="K39" s="84"/>
      <c r="L39" s="83"/>
      <c r="M39" s="84"/>
      <c r="N39" s="84"/>
    </row>
    <row r="40" spans="1:14" s="61" customFormat="1" ht="39" customHeight="1">
      <c r="A40" s="5">
        <f>A36+1</f>
        <v>10</v>
      </c>
      <c r="B40" s="94" t="s">
        <v>16</v>
      </c>
      <c r="C40" s="68" t="s">
        <v>729</v>
      </c>
      <c r="D40" s="69" t="s">
        <v>73</v>
      </c>
      <c r="E40" s="100"/>
      <c r="F40" s="505">
        <f>5.6*5.6*0.2</f>
        <v>6.271999999999999</v>
      </c>
      <c r="G40" s="505"/>
      <c r="H40" s="83"/>
      <c r="I40" s="84"/>
      <c r="J40" s="83"/>
      <c r="K40" s="84"/>
      <c r="L40" s="83"/>
      <c r="M40" s="84"/>
      <c r="N40" s="84"/>
    </row>
    <row r="41" spans="1:14" s="67" customFormat="1" ht="17.25" customHeight="1">
      <c r="A41" s="4"/>
      <c r="B41" s="123"/>
      <c r="C41" s="63" t="s">
        <v>61</v>
      </c>
      <c r="D41" s="5" t="s">
        <v>74</v>
      </c>
      <c r="E41" s="87">
        <v>1</v>
      </c>
      <c r="F41" s="88">
        <f>E41*F40</f>
        <v>6.271999999999999</v>
      </c>
      <c r="G41" s="88"/>
      <c r="H41" s="83"/>
      <c r="I41" s="84"/>
      <c r="J41" s="83"/>
      <c r="K41" s="84"/>
      <c r="L41" s="83"/>
      <c r="M41" s="84"/>
      <c r="N41" s="84"/>
    </row>
    <row r="42" spans="1:14" s="130" customFormat="1" ht="17.25" customHeight="1">
      <c r="A42" s="109"/>
      <c r="B42" s="127"/>
      <c r="C42" s="128" t="s">
        <v>189</v>
      </c>
      <c r="D42" s="5" t="s">
        <v>81</v>
      </c>
      <c r="E42" s="104">
        <v>1.03</v>
      </c>
      <c r="F42" s="238">
        <f>(1195+215+125)*E42/1000</f>
        <v>1.5810499999999998</v>
      </c>
      <c r="G42" s="238"/>
      <c r="H42" s="83"/>
      <c r="I42" s="84"/>
      <c r="J42" s="83"/>
      <c r="K42" s="84"/>
      <c r="L42" s="83"/>
      <c r="M42" s="84"/>
      <c r="N42" s="84"/>
    </row>
    <row r="43" spans="1:14" s="67" customFormat="1" ht="17.25" customHeight="1">
      <c r="A43" s="4"/>
      <c r="B43" s="131"/>
      <c r="C43" s="63" t="s">
        <v>188</v>
      </c>
      <c r="D43" s="5" t="s">
        <v>74</v>
      </c>
      <c r="E43" s="101">
        <v>1.015</v>
      </c>
      <c r="F43" s="88">
        <f>E43*F40</f>
        <v>6.366079999999998</v>
      </c>
      <c r="G43" s="88"/>
      <c r="H43" s="83"/>
      <c r="I43" s="84"/>
      <c r="J43" s="83"/>
      <c r="K43" s="84"/>
      <c r="L43" s="83"/>
      <c r="M43" s="84"/>
      <c r="N43" s="84"/>
    </row>
    <row r="44" spans="1:14" s="67" customFormat="1" ht="17.25" customHeight="1">
      <c r="A44" s="4"/>
      <c r="B44" s="132"/>
      <c r="C44" s="128" t="s">
        <v>79</v>
      </c>
      <c r="D44" s="5" t="s">
        <v>86</v>
      </c>
      <c r="E44" s="99">
        <f>7.54/100</f>
        <v>0.0754</v>
      </c>
      <c r="F44" s="88">
        <f>E44*F40</f>
        <v>0.4729087999999999</v>
      </c>
      <c r="G44" s="88"/>
      <c r="H44" s="83"/>
      <c r="I44" s="84"/>
      <c r="J44" s="83"/>
      <c r="K44" s="84"/>
      <c r="L44" s="83"/>
      <c r="M44" s="84"/>
      <c r="N44" s="84"/>
    </row>
    <row r="45" spans="1:14" ht="17.25" customHeight="1">
      <c r="A45" s="136"/>
      <c r="B45" s="127"/>
      <c r="C45" s="63" t="s">
        <v>80</v>
      </c>
      <c r="D45" s="5" t="s">
        <v>74</v>
      </c>
      <c r="E45" s="101">
        <f>0.08/100</f>
        <v>0.0008</v>
      </c>
      <c r="F45" s="88">
        <f>E45*F40</f>
        <v>0.0050176</v>
      </c>
      <c r="G45" s="88"/>
      <c r="H45" s="83"/>
      <c r="I45" s="84"/>
      <c r="J45" s="83"/>
      <c r="K45" s="84"/>
      <c r="L45" s="83"/>
      <c r="M45" s="84"/>
      <c r="N45" s="84"/>
    </row>
    <row r="46" spans="1:14" s="135" customFormat="1" ht="18" customHeight="1">
      <c r="A46" s="96"/>
      <c r="B46" s="96"/>
      <c r="C46" s="133" t="s">
        <v>78</v>
      </c>
      <c r="D46" s="4" t="s">
        <v>138</v>
      </c>
      <c r="E46" s="87">
        <v>7</v>
      </c>
      <c r="F46" s="83">
        <f>SUM(F42:F42)*E46</f>
        <v>11.06735</v>
      </c>
      <c r="G46" s="83"/>
      <c r="H46" s="134"/>
      <c r="I46" s="134"/>
      <c r="J46" s="134"/>
      <c r="K46" s="134"/>
      <c r="L46" s="134"/>
      <c r="M46" s="134"/>
      <c r="N46" s="134"/>
    </row>
    <row r="47" spans="1:14" s="67" customFormat="1" ht="17.25" customHeight="1">
      <c r="A47" s="4"/>
      <c r="B47" s="123"/>
      <c r="C47" s="63" t="s">
        <v>77</v>
      </c>
      <c r="D47" s="5" t="s">
        <v>15</v>
      </c>
      <c r="E47" s="101">
        <f>7/100</f>
        <v>0.07</v>
      </c>
      <c r="F47" s="88">
        <f>F40*E47</f>
        <v>0.43904</v>
      </c>
      <c r="G47" s="88"/>
      <c r="H47" s="83"/>
      <c r="I47" s="84"/>
      <c r="J47" s="83"/>
      <c r="K47" s="84"/>
      <c r="L47" s="83"/>
      <c r="M47" s="84"/>
      <c r="N47" s="84"/>
    </row>
    <row r="48" spans="1:14" s="236" customFormat="1" ht="36" customHeight="1">
      <c r="A48" s="5">
        <f>A40+1</f>
        <v>11</v>
      </c>
      <c r="B48" s="223" t="s">
        <v>23</v>
      </c>
      <c r="C48" s="68" t="s">
        <v>730</v>
      </c>
      <c r="D48" s="69" t="s">
        <v>203</v>
      </c>
      <c r="E48" s="69"/>
      <c r="F48" s="505">
        <f>(5.5+5.5)*3.3*0.3</f>
        <v>10.889999999999999</v>
      </c>
      <c r="G48" s="505"/>
      <c r="H48" s="83"/>
      <c r="I48" s="84"/>
      <c r="J48" s="83"/>
      <c r="K48" s="84"/>
      <c r="L48" s="83"/>
      <c r="M48" s="84"/>
      <c r="N48" s="84"/>
    </row>
    <row r="49" spans="1:14" s="236" customFormat="1" ht="18" customHeight="1">
      <c r="A49" s="182"/>
      <c r="B49" s="235"/>
      <c r="C49" s="63" t="s">
        <v>61</v>
      </c>
      <c r="D49" s="5" t="s">
        <v>74</v>
      </c>
      <c r="E49" s="87">
        <v>1</v>
      </c>
      <c r="F49" s="88">
        <f>E49*F48</f>
        <v>10.889999999999999</v>
      </c>
      <c r="G49" s="88"/>
      <c r="H49" s="83"/>
      <c r="I49" s="84"/>
      <c r="J49" s="83"/>
      <c r="K49" s="84"/>
      <c r="L49" s="83"/>
      <c r="M49" s="84"/>
      <c r="N49" s="84"/>
    </row>
    <row r="50" spans="1:14" s="236" customFormat="1" ht="18" customHeight="1">
      <c r="A50" s="182"/>
      <c r="B50" s="222" t="s">
        <v>179</v>
      </c>
      <c r="C50" s="63" t="s">
        <v>84</v>
      </c>
      <c r="D50" s="5" t="s">
        <v>74</v>
      </c>
      <c r="E50" s="107">
        <f>101.5/100</f>
        <v>1.015</v>
      </c>
      <c r="F50" s="88">
        <f>E50*F48</f>
        <v>11.053349999999998</v>
      </c>
      <c r="G50" s="88"/>
      <c r="H50" s="83"/>
      <c r="I50" s="84"/>
      <c r="J50" s="83"/>
      <c r="K50" s="84"/>
      <c r="L50" s="83"/>
      <c r="M50" s="84"/>
      <c r="N50" s="84"/>
    </row>
    <row r="51" spans="1:14" s="67" customFormat="1" ht="18" customHeight="1">
      <c r="A51" s="4"/>
      <c r="B51" s="127"/>
      <c r="C51" s="128" t="s">
        <v>182</v>
      </c>
      <c r="D51" s="5" t="s">
        <v>81</v>
      </c>
      <c r="E51" s="87">
        <v>1.03</v>
      </c>
      <c r="F51" s="237">
        <f>(280)*E51/1000</f>
        <v>0.28840000000000005</v>
      </c>
      <c r="G51" s="237"/>
      <c r="H51" s="83"/>
      <c r="I51" s="84"/>
      <c r="J51" s="83"/>
      <c r="K51" s="84"/>
      <c r="L51" s="83"/>
      <c r="M51" s="84"/>
      <c r="N51" s="84"/>
    </row>
    <row r="52" spans="1:14" s="130" customFormat="1" ht="17.25" customHeight="1">
      <c r="A52" s="109"/>
      <c r="B52" s="127"/>
      <c r="C52" s="128" t="s">
        <v>183</v>
      </c>
      <c r="D52" s="5" t="s">
        <v>81</v>
      </c>
      <c r="E52" s="87">
        <v>1.03</v>
      </c>
      <c r="F52" s="238">
        <f>(960)*E52/1000</f>
        <v>0.9888000000000001</v>
      </c>
      <c r="G52" s="238"/>
      <c r="H52" s="83"/>
      <c r="I52" s="84"/>
      <c r="J52" s="83"/>
      <c r="K52" s="84"/>
      <c r="L52" s="83"/>
      <c r="M52" s="84"/>
      <c r="N52" s="84"/>
    </row>
    <row r="53" spans="1:14" s="130" customFormat="1" ht="17.25" customHeight="1">
      <c r="A53" s="109"/>
      <c r="B53" s="127"/>
      <c r="C53" s="128" t="s">
        <v>472</v>
      </c>
      <c r="D53" s="5" t="s">
        <v>81</v>
      </c>
      <c r="E53" s="87">
        <v>1.03</v>
      </c>
      <c r="F53" s="238">
        <f>(930)*E53/1000</f>
        <v>0.9579</v>
      </c>
      <c r="G53" s="238"/>
      <c r="H53" s="83"/>
      <c r="I53" s="84"/>
      <c r="J53" s="83"/>
      <c r="K53" s="84"/>
      <c r="L53" s="83"/>
      <c r="M53" s="84"/>
      <c r="N53" s="84"/>
    </row>
    <row r="54" spans="1:14" s="236" customFormat="1" ht="18" customHeight="1">
      <c r="A54" s="182"/>
      <c r="B54" s="234" t="s">
        <v>180</v>
      </c>
      <c r="C54" s="128" t="s">
        <v>79</v>
      </c>
      <c r="D54" s="5" t="s">
        <v>86</v>
      </c>
      <c r="E54" s="100">
        <f>137*0.01</f>
        <v>1.37</v>
      </c>
      <c r="F54" s="106">
        <f>F48*E54</f>
        <v>14.9193</v>
      </c>
      <c r="G54" s="106"/>
      <c r="H54" s="83"/>
      <c r="I54" s="84"/>
      <c r="J54" s="83"/>
      <c r="K54" s="84"/>
      <c r="L54" s="83"/>
      <c r="M54" s="84"/>
      <c r="N54" s="84"/>
    </row>
    <row r="55" spans="1:14" s="236" customFormat="1" ht="18" customHeight="1">
      <c r="A55" s="182"/>
      <c r="B55" s="230" t="s">
        <v>181</v>
      </c>
      <c r="C55" s="63" t="s">
        <v>80</v>
      </c>
      <c r="D55" s="5" t="s">
        <v>74</v>
      </c>
      <c r="E55" s="107">
        <f>(0.84+2.56+0.26)*0.01</f>
        <v>0.0366</v>
      </c>
      <c r="F55" s="106">
        <f>F48*E55</f>
        <v>0.398574</v>
      </c>
      <c r="G55" s="106"/>
      <c r="H55" s="83"/>
      <c r="I55" s="84"/>
      <c r="J55" s="83"/>
      <c r="K55" s="84"/>
      <c r="L55" s="83"/>
      <c r="M55" s="84"/>
      <c r="N55" s="84"/>
    </row>
    <row r="56" spans="1:14" s="135" customFormat="1" ht="18" customHeight="1">
      <c r="A56" s="96"/>
      <c r="B56" s="96"/>
      <c r="C56" s="133" t="s">
        <v>78</v>
      </c>
      <c r="D56" s="4" t="s">
        <v>138</v>
      </c>
      <c r="E56" s="87">
        <v>7</v>
      </c>
      <c r="F56" s="83">
        <f>SUM(F51:F53)*E56</f>
        <v>15.645700000000001</v>
      </c>
      <c r="G56" s="83"/>
      <c r="H56" s="134"/>
      <c r="I56" s="134"/>
      <c r="J56" s="134"/>
      <c r="K56" s="134"/>
      <c r="L56" s="134"/>
      <c r="M56" s="134"/>
      <c r="N56" s="134"/>
    </row>
    <row r="57" spans="1:14" s="232" customFormat="1" ht="17.25" customHeight="1">
      <c r="A57" s="4"/>
      <c r="B57" s="222"/>
      <c r="C57" s="63" t="s">
        <v>77</v>
      </c>
      <c r="D57" s="5" t="s">
        <v>15</v>
      </c>
      <c r="E57" s="87">
        <f>39*0.01</f>
        <v>0.39</v>
      </c>
      <c r="F57" s="88">
        <f>F48*E57</f>
        <v>4.2471</v>
      </c>
      <c r="G57" s="88"/>
      <c r="H57" s="83"/>
      <c r="I57" s="84"/>
      <c r="J57" s="83"/>
      <c r="K57" s="84"/>
      <c r="L57" s="83"/>
      <c r="M57" s="84"/>
      <c r="N57" s="84"/>
    </row>
    <row r="58" spans="1:14" ht="39" customHeight="1">
      <c r="A58" s="5">
        <f>A48+1</f>
        <v>12</v>
      </c>
      <c r="B58" s="94" t="s">
        <v>23</v>
      </c>
      <c r="C58" s="68" t="s">
        <v>731</v>
      </c>
      <c r="D58" s="69" t="s">
        <v>73</v>
      </c>
      <c r="E58" s="101"/>
      <c r="F58" s="221">
        <f>5.6*5.6*0.3</f>
        <v>9.407999999999998</v>
      </c>
      <c r="G58" s="221"/>
      <c r="H58" s="83"/>
      <c r="I58" s="84"/>
      <c r="J58" s="83"/>
      <c r="K58" s="84"/>
      <c r="L58" s="83"/>
      <c r="M58" s="84"/>
      <c r="N58" s="84"/>
    </row>
    <row r="59" spans="1:14" ht="18" customHeight="1">
      <c r="A59" s="182"/>
      <c r="B59" s="183"/>
      <c r="C59" s="63" t="s">
        <v>61</v>
      </c>
      <c r="D59" s="5" t="s">
        <v>74</v>
      </c>
      <c r="E59" s="87">
        <v>1</v>
      </c>
      <c r="F59" s="106">
        <f>F58*E59</f>
        <v>9.407999999999998</v>
      </c>
      <c r="G59" s="106"/>
      <c r="H59" s="83"/>
      <c r="I59" s="84"/>
      <c r="J59" s="83"/>
      <c r="K59" s="84"/>
      <c r="L59" s="83"/>
      <c r="M59" s="84"/>
      <c r="N59" s="84"/>
    </row>
    <row r="60" spans="1:14" s="67" customFormat="1" ht="18" customHeight="1">
      <c r="A60" s="4"/>
      <c r="B60" s="127"/>
      <c r="C60" s="128" t="s">
        <v>182</v>
      </c>
      <c r="D60" s="5" t="s">
        <v>81</v>
      </c>
      <c r="E60" s="87">
        <v>1.03</v>
      </c>
      <c r="F60" s="237">
        <f>(90)*E60/1000</f>
        <v>0.0927</v>
      </c>
      <c r="G60" s="237"/>
      <c r="H60" s="83"/>
      <c r="I60" s="84"/>
      <c r="J60" s="83"/>
      <c r="K60" s="84"/>
      <c r="L60" s="83"/>
      <c r="M60" s="84"/>
      <c r="N60" s="84"/>
    </row>
    <row r="61" spans="1:14" s="130" customFormat="1" ht="17.25" customHeight="1">
      <c r="A61" s="109"/>
      <c r="B61" s="127"/>
      <c r="C61" s="128" t="s">
        <v>183</v>
      </c>
      <c r="D61" s="5" t="s">
        <v>81</v>
      </c>
      <c r="E61" s="87">
        <v>1.03</v>
      </c>
      <c r="F61" s="238">
        <f>(175+175)*E61/1000</f>
        <v>0.3605</v>
      </c>
      <c r="G61" s="238"/>
      <c r="H61" s="83"/>
      <c r="I61" s="84"/>
      <c r="J61" s="83"/>
      <c r="K61" s="84"/>
      <c r="L61" s="83"/>
      <c r="M61" s="84"/>
      <c r="N61" s="84"/>
    </row>
    <row r="62" spans="1:14" ht="18" customHeight="1">
      <c r="A62" s="182"/>
      <c r="B62" s="131"/>
      <c r="C62" s="63" t="s">
        <v>84</v>
      </c>
      <c r="D62" s="5" t="s">
        <v>74</v>
      </c>
      <c r="E62" s="101">
        <f>101.5/100</f>
        <v>1.015</v>
      </c>
      <c r="F62" s="88">
        <f>E62*F58</f>
        <v>9.549119999999997</v>
      </c>
      <c r="G62" s="88"/>
      <c r="H62" s="83"/>
      <c r="I62" s="84"/>
      <c r="J62" s="83"/>
      <c r="K62" s="84"/>
      <c r="L62" s="83"/>
      <c r="M62" s="84"/>
      <c r="N62" s="84"/>
    </row>
    <row r="63" spans="1:14" ht="18" customHeight="1">
      <c r="A63" s="182"/>
      <c r="B63" s="132"/>
      <c r="C63" s="128" t="s">
        <v>79</v>
      </c>
      <c r="D63" s="5" t="s">
        <v>86</v>
      </c>
      <c r="E63" s="101">
        <f>137*0.01</f>
        <v>1.37</v>
      </c>
      <c r="F63" s="106">
        <f>F58*E63</f>
        <v>12.888959999999997</v>
      </c>
      <c r="G63" s="106"/>
      <c r="H63" s="83"/>
      <c r="I63" s="84"/>
      <c r="J63" s="83"/>
      <c r="K63" s="84"/>
      <c r="L63" s="83"/>
      <c r="M63" s="84"/>
      <c r="N63" s="84"/>
    </row>
    <row r="64" spans="1:14" ht="18" customHeight="1">
      <c r="A64" s="182"/>
      <c r="B64" s="127"/>
      <c r="C64" s="63" t="s">
        <v>80</v>
      </c>
      <c r="D64" s="5" t="s">
        <v>74</v>
      </c>
      <c r="E64" s="101">
        <f>(0.84+2.56+0.26)*0.01</f>
        <v>0.0366</v>
      </c>
      <c r="F64" s="106">
        <f>F58*E64</f>
        <v>0.34433279999999994</v>
      </c>
      <c r="G64" s="106"/>
      <c r="H64" s="83"/>
      <c r="I64" s="84"/>
      <c r="J64" s="83"/>
      <c r="K64" s="84"/>
      <c r="L64" s="83"/>
      <c r="M64" s="84"/>
      <c r="N64" s="84"/>
    </row>
    <row r="65" spans="1:14" s="135" customFormat="1" ht="18" customHeight="1">
      <c r="A65" s="96"/>
      <c r="B65" s="96"/>
      <c r="C65" s="133" t="s">
        <v>78</v>
      </c>
      <c r="D65" s="4" t="s">
        <v>138</v>
      </c>
      <c r="E65" s="87">
        <v>7</v>
      </c>
      <c r="F65" s="83">
        <f>SUM(F60:F61)*E65</f>
        <v>3.1724</v>
      </c>
      <c r="G65" s="83"/>
      <c r="H65" s="134"/>
      <c r="I65" s="134"/>
      <c r="J65" s="134"/>
      <c r="K65" s="134"/>
      <c r="L65" s="134"/>
      <c r="M65" s="134"/>
      <c r="N65" s="134"/>
    </row>
    <row r="66" spans="1:14" s="135" customFormat="1" ht="18" customHeight="1">
      <c r="A66" s="96"/>
      <c r="B66" s="96"/>
      <c r="C66" s="133" t="s">
        <v>732</v>
      </c>
      <c r="D66" s="4" t="s">
        <v>92</v>
      </c>
      <c r="E66" s="87">
        <v>1</v>
      </c>
      <c r="F66" s="83">
        <v>1</v>
      </c>
      <c r="G66" s="83"/>
      <c r="H66" s="134"/>
      <c r="I66" s="134"/>
      <c r="J66" s="134"/>
      <c r="K66" s="134"/>
      <c r="L66" s="134"/>
      <c r="M66" s="134"/>
      <c r="N66" s="134"/>
    </row>
    <row r="67" spans="1:14" s="67" customFormat="1" ht="17.25" customHeight="1">
      <c r="A67" s="4"/>
      <c r="B67" s="123"/>
      <c r="C67" s="63" t="s">
        <v>77</v>
      </c>
      <c r="D67" s="5" t="s">
        <v>15</v>
      </c>
      <c r="E67" s="101">
        <f>39*0.01</f>
        <v>0.39</v>
      </c>
      <c r="F67" s="88">
        <f>F58*E67</f>
        <v>3.669119999999999</v>
      </c>
      <c r="G67" s="88"/>
      <c r="H67" s="83"/>
      <c r="I67" s="84"/>
      <c r="J67" s="83"/>
      <c r="K67" s="84"/>
      <c r="L67" s="83"/>
      <c r="M67" s="84"/>
      <c r="N67" s="84"/>
    </row>
    <row r="68" spans="1:14" s="61" customFormat="1" ht="36" customHeight="1">
      <c r="A68" s="5">
        <f>A58+1</f>
        <v>13</v>
      </c>
      <c r="B68" s="94" t="s">
        <v>37</v>
      </c>
      <c r="C68" s="68" t="s">
        <v>735</v>
      </c>
      <c r="D68" s="69" t="s">
        <v>87</v>
      </c>
      <c r="E68" s="101"/>
      <c r="F68" s="221">
        <f>(5.6+5.6)*2*3.6</f>
        <v>80.64</v>
      </c>
      <c r="G68" s="221"/>
      <c r="H68" s="83"/>
      <c r="I68" s="84"/>
      <c r="J68" s="83"/>
      <c r="K68" s="84"/>
      <c r="L68" s="83"/>
      <c r="M68" s="84"/>
      <c r="N68" s="84"/>
    </row>
    <row r="69" spans="1:14" s="67" customFormat="1" ht="17.25" customHeight="1">
      <c r="A69" s="4"/>
      <c r="B69" s="123"/>
      <c r="C69" s="63" t="s">
        <v>61</v>
      </c>
      <c r="D69" s="5" t="s">
        <v>86</v>
      </c>
      <c r="E69" s="87">
        <v>1</v>
      </c>
      <c r="F69" s="106">
        <f>F68*E69</f>
        <v>80.64</v>
      </c>
      <c r="G69" s="106"/>
      <c r="H69" s="83"/>
      <c r="I69" s="84"/>
      <c r="J69" s="83"/>
      <c r="K69" s="84"/>
      <c r="L69" s="83"/>
      <c r="M69" s="84"/>
      <c r="N69" s="84"/>
    </row>
    <row r="70" spans="1:14" s="67" customFormat="1" ht="17.25" customHeight="1">
      <c r="A70" s="4"/>
      <c r="B70" s="145"/>
      <c r="C70" s="128" t="s">
        <v>158</v>
      </c>
      <c r="D70" s="4" t="s">
        <v>138</v>
      </c>
      <c r="E70" s="87">
        <v>2</v>
      </c>
      <c r="F70" s="88">
        <f>E70*F68</f>
        <v>161.28</v>
      </c>
      <c r="G70" s="88"/>
      <c r="H70" s="83"/>
      <c r="I70" s="84"/>
      <c r="J70" s="83"/>
      <c r="K70" s="84"/>
      <c r="L70" s="83"/>
      <c r="M70" s="84"/>
      <c r="N70" s="84"/>
    </row>
    <row r="71" spans="1:14" s="67" customFormat="1" ht="17.25" customHeight="1">
      <c r="A71" s="4"/>
      <c r="B71" s="123"/>
      <c r="C71" s="63" t="s">
        <v>77</v>
      </c>
      <c r="D71" s="5" t="s">
        <v>15</v>
      </c>
      <c r="E71" s="101">
        <f>7.68*0.01*0.5</f>
        <v>0.0384</v>
      </c>
      <c r="F71" s="88">
        <f>F68*E71</f>
        <v>3.0965759999999998</v>
      </c>
      <c r="G71" s="88"/>
      <c r="H71" s="83"/>
      <c r="I71" s="84"/>
      <c r="J71" s="83"/>
      <c r="K71" s="84"/>
      <c r="L71" s="83"/>
      <c r="M71" s="84"/>
      <c r="N71" s="84"/>
    </row>
    <row r="72" spans="1:14" s="46" customFormat="1" ht="21" customHeight="1">
      <c r="A72" s="432"/>
      <c r="B72" s="127"/>
      <c r="C72" s="434" t="s">
        <v>734</v>
      </c>
      <c r="D72" s="433"/>
      <c r="E72" s="101"/>
      <c r="F72" s="42"/>
      <c r="G72" s="42"/>
      <c r="H72" s="83"/>
      <c r="I72" s="84"/>
      <c r="J72" s="83"/>
      <c r="K72" s="84"/>
      <c r="L72" s="83"/>
      <c r="M72" s="84"/>
      <c r="N72" s="84"/>
    </row>
    <row r="73" spans="1:14" s="61" customFormat="1" ht="39" customHeight="1">
      <c r="A73" s="5">
        <f>A68+1</f>
        <v>14</v>
      </c>
      <c r="B73" s="94" t="s">
        <v>4</v>
      </c>
      <c r="C73" s="68" t="s">
        <v>85</v>
      </c>
      <c r="D73" s="69" t="s">
        <v>73</v>
      </c>
      <c r="E73" s="100"/>
      <c r="F73" s="504">
        <f>11*5*0.1</f>
        <v>5.5</v>
      </c>
      <c r="G73" s="504"/>
      <c r="H73" s="83"/>
      <c r="I73" s="84"/>
      <c r="J73" s="83"/>
      <c r="K73" s="84"/>
      <c r="L73" s="83"/>
      <c r="M73" s="84"/>
      <c r="N73" s="84"/>
    </row>
    <row r="74" spans="1:14" s="67" customFormat="1" ht="18" customHeight="1">
      <c r="A74" s="4"/>
      <c r="B74" s="123"/>
      <c r="C74" s="63" t="s">
        <v>61</v>
      </c>
      <c r="D74" s="5" t="s">
        <v>74</v>
      </c>
      <c r="E74" s="87">
        <v>1</v>
      </c>
      <c r="F74" s="88">
        <f>E74*F73</f>
        <v>5.5</v>
      </c>
      <c r="G74" s="88"/>
      <c r="H74" s="83"/>
      <c r="I74" s="84"/>
      <c r="J74" s="83"/>
      <c r="K74" s="84"/>
      <c r="L74" s="83"/>
      <c r="M74" s="84"/>
      <c r="N74" s="84"/>
    </row>
    <row r="75" spans="1:14" s="67" customFormat="1" ht="18" customHeight="1">
      <c r="A75" s="4"/>
      <c r="B75" s="123"/>
      <c r="C75" s="128" t="s">
        <v>83</v>
      </c>
      <c r="D75" s="5" t="s">
        <v>74</v>
      </c>
      <c r="E75" s="101">
        <v>1.02</v>
      </c>
      <c r="F75" s="88">
        <f>E75*F73</f>
        <v>5.61</v>
      </c>
      <c r="G75" s="88"/>
      <c r="H75" s="83"/>
      <c r="I75" s="84"/>
      <c r="J75" s="83"/>
      <c r="K75" s="84"/>
      <c r="L75" s="83"/>
      <c r="M75" s="84"/>
      <c r="N75" s="84"/>
    </row>
    <row r="76" spans="1:14" s="67" customFormat="1" ht="18" customHeight="1">
      <c r="A76" s="4"/>
      <c r="B76" s="123"/>
      <c r="C76" s="63" t="s">
        <v>77</v>
      </c>
      <c r="D76" s="5" t="s">
        <v>15</v>
      </c>
      <c r="E76" s="87">
        <v>0.62</v>
      </c>
      <c r="F76" s="88">
        <f>F73*E76</f>
        <v>3.41</v>
      </c>
      <c r="G76" s="88"/>
      <c r="H76" s="83"/>
      <c r="I76" s="84"/>
      <c r="J76" s="83"/>
      <c r="K76" s="84"/>
      <c r="L76" s="83"/>
      <c r="M76" s="84"/>
      <c r="N76" s="84"/>
    </row>
    <row r="77" spans="1:14" s="61" customFormat="1" ht="39" customHeight="1">
      <c r="A77" s="5">
        <f>A73+1</f>
        <v>15</v>
      </c>
      <c r="B77" s="94" t="s">
        <v>16</v>
      </c>
      <c r="C77" s="68" t="s">
        <v>729</v>
      </c>
      <c r="D77" s="69" t="s">
        <v>73</v>
      </c>
      <c r="E77" s="100"/>
      <c r="F77" s="505">
        <f>5.6*5.6*0.2</f>
        <v>6.271999999999999</v>
      </c>
      <c r="G77" s="505"/>
      <c r="H77" s="83"/>
      <c r="I77" s="84"/>
      <c r="J77" s="83"/>
      <c r="K77" s="84"/>
      <c r="L77" s="83"/>
      <c r="M77" s="84"/>
      <c r="N77" s="84"/>
    </row>
    <row r="78" spans="1:14" s="67" customFormat="1" ht="17.25" customHeight="1">
      <c r="A78" s="4"/>
      <c r="B78" s="123"/>
      <c r="C78" s="63" t="s">
        <v>61</v>
      </c>
      <c r="D78" s="5" t="s">
        <v>74</v>
      </c>
      <c r="E78" s="87">
        <v>1</v>
      </c>
      <c r="F78" s="88">
        <f>E78*F77</f>
        <v>6.271999999999999</v>
      </c>
      <c r="G78" s="88"/>
      <c r="H78" s="83"/>
      <c r="I78" s="84"/>
      <c r="J78" s="83"/>
      <c r="K78" s="84"/>
      <c r="L78" s="83"/>
      <c r="M78" s="84"/>
      <c r="N78" s="84"/>
    </row>
    <row r="79" spans="1:14" s="67" customFormat="1" ht="18" customHeight="1">
      <c r="A79" s="4"/>
      <c r="B79" s="127"/>
      <c r="C79" s="128" t="s">
        <v>182</v>
      </c>
      <c r="D79" s="5" t="s">
        <v>81</v>
      </c>
      <c r="E79" s="87">
        <v>1.03</v>
      </c>
      <c r="F79" s="237">
        <f>(100)*E79/1000</f>
        <v>0.103</v>
      </c>
      <c r="G79" s="237"/>
      <c r="H79" s="83"/>
      <c r="I79" s="84"/>
      <c r="J79" s="83"/>
      <c r="K79" s="84"/>
      <c r="L79" s="83"/>
      <c r="M79" s="84"/>
      <c r="N79" s="84"/>
    </row>
    <row r="80" spans="1:14" s="130" customFormat="1" ht="17.25" customHeight="1">
      <c r="A80" s="109"/>
      <c r="B80" s="127"/>
      <c r="C80" s="128" t="s">
        <v>183</v>
      </c>
      <c r="D80" s="5" t="s">
        <v>81</v>
      </c>
      <c r="E80" s="87">
        <v>1.03</v>
      </c>
      <c r="F80" s="238">
        <f>(640)*E80/1000</f>
        <v>0.6592</v>
      </c>
      <c r="G80" s="238"/>
      <c r="H80" s="83"/>
      <c r="I80" s="84"/>
      <c r="J80" s="83"/>
      <c r="K80" s="84"/>
      <c r="L80" s="83"/>
      <c r="M80" s="84"/>
      <c r="N80" s="84"/>
    </row>
    <row r="81" spans="1:14" s="130" customFormat="1" ht="17.25" customHeight="1">
      <c r="A81" s="109"/>
      <c r="B81" s="127"/>
      <c r="C81" s="128" t="s">
        <v>189</v>
      </c>
      <c r="D81" s="5" t="s">
        <v>81</v>
      </c>
      <c r="E81" s="104">
        <v>1.03</v>
      </c>
      <c r="F81" s="238">
        <f>(965)*E81/1000</f>
        <v>0.99395</v>
      </c>
      <c r="G81" s="238"/>
      <c r="H81" s="83"/>
      <c r="I81" s="84"/>
      <c r="J81" s="83"/>
      <c r="K81" s="84"/>
      <c r="L81" s="83"/>
      <c r="M81" s="84"/>
      <c r="N81" s="84"/>
    </row>
    <row r="82" spans="1:14" s="67" customFormat="1" ht="17.25" customHeight="1">
      <c r="A82" s="4"/>
      <c r="B82" s="131"/>
      <c r="C82" s="63" t="s">
        <v>188</v>
      </c>
      <c r="D82" s="5" t="s">
        <v>74</v>
      </c>
      <c r="E82" s="101">
        <v>1.015</v>
      </c>
      <c r="F82" s="88">
        <f>E82*F77</f>
        <v>6.366079999999998</v>
      </c>
      <c r="G82" s="88"/>
      <c r="H82" s="83"/>
      <c r="I82" s="84"/>
      <c r="J82" s="83"/>
      <c r="K82" s="84"/>
      <c r="L82" s="83"/>
      <c r="M82" s="84"/>
      <c r="N82" s="84"/>
    </row>
    <row r="83" spans="1:14" s="67" customFormat="1" ht="17.25" customHeight="1">
      <c r="A83" s="4"/>
      <c r="B83" s="132"/>
      <c r="C83" s="128" t="s">
        <v>79</v>
      </c>
      <c r="D83" s="5" t="s">
        <v>86</v>
      </c>
      <c r="E83" s="99">
        <f>7.54/100</f>
        <v>0.0754</v>
      </c>
      <c r="F83" s="88">
        <f>E83*F77</f>
        <v>0.4729087999999999</v>
      </c>
      <c r="G83" s="88"/>
      <c r="H83" s="83"/>
      <c r="I83" s="84"/>
      <c r="J83" s="83"/>
      <c r="K83" s="84"/>
      <c r="L83" s="83"/>
      <c r="M83" s="84"/>
      <c r="N83" s="84"/>
    </row>
    <row r="84" spans="1:14" ht="17.25" customHeight="1">
      <c r="A84" s="136"/>
      <c r="B84" s="127"/>
      <c r="C84" s="63" t="s">
        <v>80</v>
      </c>
      <c r="D84" s="5" t="s">
        <v>74</v>
      </c>
      <c r="E84" s="101">
        <f>0.08/100</f>
        <v>0.0008</v>
      </c>
      <c r="F84" s="88">
        <f>E84*F77</f>
        <v>0.0050176</v>
      </c>
      <c r="G84" s="88"/>
      <c r="H84" s="83"/>
      <c r="I84" s="84"/>
      <c r="J84" s="83"/>
      <c r="K84" s="84"/>
      <c r="L84" s="83"/>
      <c r="M84" s="84"/>
      <c r="N84" s="84"/>
    </row>
    <row r="85" spans="1:14" s="135" customFormat="1" ht="18" customHeight="1">
      <c r="A85" s="96"/>
      <c r="B85" s="96"/>
      <c r="C85" s="133" t="s">
        <v>78</v>
      </c>
      <c r="D85" s="4" t="s">
        <v>138</v>
      </c>
      <c r="E85" s="87">
        <v>7</v>
      </c>
      <c r="F85" s="83">
        <f>SUM(F81:F81)*E85</f>
        <v>6.95765</v>
      </c>
      <c r="G85" s="83"/>
      <c r="H85" s="134"/>
      <c r="I85" s="134"/>
      <c r="J85" s="134"/>
      <c r="K85" s="134"/>
      <c r="L85" s="134"/>
      <c r="M85" s="134"/>
      <c r="N85" s="134"/>
    </row>
    <row r="86" spans="1:14" s="67" customFormat="1" ht="17.25" customHeight="1">
      <c r="A86" s="4"/>
      <c r="B86" s="123"/>
      <c r="C86" s="63" t="s">
        <v>77</v>
      </c>
      <c r="D86" s="5" t="s">
        <v>15</v>
      </c>
      <c r="E86" s="101">
        <f>7/100</f>
        <v>0.07</v>
      </c>
      <c r="F86" s="88">
        <f>F77*E86</f>
        <v>0.43904</v>
      </c>
      <c r="G86" s="88"/>
      <c r="H86" s="83"/>
      <c r="I86" s="84"/>
      <c r="J86" s="83"/>
      <c r="K86" s="84"/>
      <c r="L86" s="83"/>
      <c r="M86" s="84"/>
      <c r="N86" s="84"/>
    </row>
    <row r="87" spans="1:14" s="236" customFormat="1" ht="36" customHeight="1">
      <c r="A87" s="5">
        <f>A77+1</f>
        <v>16</v>
      </c>
      <c r="B87" s="223" t="s">
        <v>23</v>
      </c>
      <c r="C87" s="68" t="s">
        <v>730</v>
      </c>
      <c r="D87" s="69" t="s">
        <v>73</v>
      </c>
      <c r="E87" s="69"/>
      <c r="F87" s="505">
        <f>(2.1+7.6)*3.3*0.3</f>
        <v>9.603</v>
      </c>
      <c r="G87" s="505"/>
      <c r="H87" s="83"/>
      <c r="I87" s="84"/>
      <c r="J87" s="83"/>
      <c r="K87" s="84"/>
      <c r="L87" s="83"/>
      <c r="M87" s="84"/>
      <c r="N87" s="84"/>
    </row>
    <row r="88" spans="1:14" s="236" customFormat="1" ht="18" customHeight="1">
      <c r="A88" s="182"/>
      <c r="B88" s="235"/>
      <c r="C88" s="63" t="s">
        <v>61</v>
      </c>
      <c r="D88" s="5" t="s">
        <v>74</v>
      </c>
      <c r="E88" s="87">
        <v>1</v>
      </c>
      <c r="F88" s="88">
        <f>E88*F87</f>
        <v>9.603</v>
      </c>
      <c r="G88" s="88"/>
      <c r="H88" s="83"/>
      <c r="I88" s="84"/>
      <c r="J88" s="83"/>
      <c r="K88" s="84"/>
      <c r="L88" s="83"/>
      <c r="M88" s="84"/>
      <c r="N88" s="84"/>
    </row>
    <row r="89" spans="1:14" s="236" customFormat="1" ht="18" customHeight="1">
      <c r="A89" s="182"/>
      <c r="B89" s="222" t="s">
        <v>179</v>
      </c>
      <c r="C89" s="63" t="s">
        <v>84</v>
      </c>
      <c r="D89" s="5" t="s">
        <v>74</v>
      </c>
      <c r="E89" s="107">
        <f>101.5/100</f>
        <v>1.015</v>
      </c>
      <c r="F89" s="88">
        <f>E89*F87</f>
        <v>9.747044999999998</v>
      </c>
      <c r="G89" s="88"/>
      <c r="H89" s="83"/>
      <c r="I89" s="84"/>
      <c r="J89" s="83"/>
      <c r="K89" s="84"/>
      <c r="L89" s="83"/>
      <c r="M89" s="84"/>
      <c r="N89" s="84"/>
    </row>
    <row r="90" spans="1:14" s="67" customFormat="1" ht="18" customHeight="1">
      <c r="A90" s="4"/>
      <c r="B90" s="127"/>
      <c r="C90" s="128" t="s">
        <v>182</v>
      </c>
      <c r="D90" s="5" t="s">
        <v>81</v>
      </c>
      <c r="E90" s="87">
        <v>1.03</v>
      </c>
      <c r="F90" s="237">
        <f>(200)*E90/1000</f>
        <v>0.206</v>
      </c>
      <c r="G90" s="237"/>
      <c r="H90" s="83"/>
      <c r="I90" s="84"/>
      <c r="J90" s="83"/>
      <c r="K90" s="84"/>
      <c r="L90" s="83"/>
      <c r="M90" s="84"/>
      <c r="N90" s="84"/>
    </row>
    <row r="91" spans="1:14" s="130" customFormat="1" ht="17.25" customHeight="1">
      <c r="A91" s="109"/>
      <c r="B91" s="127"/>
      <c r="C91" s="128" t="s">
        <v>183</v>
      </c>
      <c r="D91" s="5" t="s">
        <v>81</v>
      </c>
      <c r="E91" s="87">
        <v>1.03</v>
      </c>
      <c r="F91" s="238">
        <f>(850)*E91/1000</f>
        <v>0.8755</v>
      </c>
      <c r="G91" s="238"/>
      <c r="H91" s="83"/>
      <c r="I91" s="84"/>
      <c r="J91" s="83"/>
      <c r="K91" s="84"/>
      <c r="L91" s="83"/>
      <c r="M91" s="84"/>
      <c r="N91" s="84"/>
    </row>
    <row r="92" spans="1:14" s="130" customFormat="1" ht="17.25" customHeight="1">
      <c r="A92" s="109"/>
      <c r="B92" s="127"/>
      <c r="C92" s="128" t="s">
        <v>472</v>
      </c>
      <c r="D92" s="5" t="s">
        <v>81</v>
      </c>
      <c r="E92" s="87">
        <v>1.03</v>
      </c>
      <c r="F92" s="238">
        <f>(840)*E92/1000</f>
        <v>0.8652000000000001</v>
      </c>
      <c r="G92" s="238"/>
      <c r="H92" s="83"/>
      <c r="I92" s="84"/>
      <c r="J92" s="83"/>
      <c r="K92" s="84"/>
      <c r="L92" s="83"/>
      <c r="M92" s="84"/>
      <c r="N92" s="84"/>
    </row>
    <row r="93" spans="1:14" s="236" customFormat="1" ht="18" customHeight="1">
      <c r="A93" s="182"/>
      <c r="B93" s="234" t="s">
        <v>180</v>
      </c>
      <c r="C93" s="128" t="s">
        <v>79</v>
      </c>
      <c r="D93" s="5" t="s">
        <v>86</v>
      </c>
      <c r="E93" s="100">
        <f>137*0.01</f>
        <v>1.37</v>
      </c>
      <c r="F93" s="106">
        <f>F87*E93</f>
        <v>13.15611</v>
      </c>
      <c r="G93" s="106"/>
      <c r="H93" s="83"/>
      <c r="I93" s="84"/>
      <c r="J93" s="83"/>
      <c r="K93" s="84"/>
      <c r="L93" s="83"/>
      <c r="M93" s="84"/>
      <c r="N93" s="84"/>
    </row>
    <row r="94" spans="1:14" s="236" customFormat="1" ht="18" customHeight="1">
      <c r="A94" s="182"/>
      <c r="B94" s="230" t="s">
        <v>181</v>
      </c>
      <c r="C94" s="63" t="s">
        <v>80</v>
      </c>
      <c r="D94" s="5" t="s">
        <v>74</v>
      </c>
      <c r="E94" s="107">
        <f>(0.84+2.56+0.26)*0.01</f>
        <v>0.0366</v>
      </c>
      <c r="F94" s="106">
        <f>F87*E94</f>
        <v>0.3514698</v>
      </c>
      <c r="G94" s="106"/>
      <c r="H94" s="83"/>
      <c r="I94" s="84"/>
      <c r="J94" s="83"/>
      <c r="K94" s="84"/>
      <c r="L94" s="83"/>
      <c r="M94" s="84"/>
      <c r="N94" s="84"/>
    </row>
    <row r="95" spans="1:14" s="135" customFormat="1" ht="18" customHeight="1">
      <c r="A95" s="96"/>
      <c r="B95" s="96"/>
      <c r="C95" s="133" t="s">
        <v>78</v>
      </c>
      <c r="D95" s="4" t="s">
        <v>138</v>
      </c>
      <c r="E95" s="87">
        <v>7</v>
      </c>
      <c r="F95" s="83">
        <f>SUM(F90:F92)*E95</f>
        <v>13.6269</v>
      </c>
      <c r="G95" s="83"/>
      <c r="H95" s="134"/>
      <c r="I95" s="134"/>
      <c r="J95" s="134"/>
      <c r="K95" s="134"/>
      <c r="L95" s="134"/>
      <c r="M95" s="134"/>
      <c r="N95" s="134"/>
    </row>
    <row r="96" spans="1:14" s="232" customFormat="1" ht="17.25" customHeight="1">
      <c r="A96" s="4"/>
      <c r="B96" s="222"/>
      <c r="C96" s="63" t="s">
        <v>77</v>
      </c>
      <c r="D96" s="5" t="s">
        <v>15</v>
      </c>
      <c r="E96" s="87">
        <f>39*0.01</f>
        <v>0.39</v>
      </c>
      <c r="F96" s="88">
        <f>F87*E96</f>
        <v>3.74517</v>
      </c>
      <c r="G96" s="88"/>
      <c r="H96" s="83"/>
      <c r="I96" s="84"/>
      <c r="J96" s="83"/>
      <c r="K96" s="84"/>
      <c r="L96" s="83"/>
      <c r="M96" s="84"/>
      <c r="N96" s="84"/>
    </row>
    <row r="97" spans="1:14" ht="39" customHeight="1">
      <c r="A97" s="5">
        <f>A87+1</f>
        <v>17</v>
      </c>
      <c r="B97" s="94" t="s">
        <v>23</v>
      </c>
      <c r="C97" s="68" t="s">
        <v>731</v>
      </c>
      <c r="D97" s="69" t="s">
        <v>73</v>
      </c>
      <c r="E97" s="101"/>
      <c r="F97" s="221">
        <f>2.1*7.6*0.3</f>
        <v>4.787999999999999</v>
      </c>
      <c r="G97" s="221"/>
      <c r="H97" s="83"/>
      <c r="I97" s="84"/>
      <c r="J97" s="83"/>
      <c r="K97" s="84"/>
      <c r="L97" s="83"/>
      <c r="M97" s="84"/>
      <c r="N97" s="84"/>
    </row>
    <row r="98" spans="1:14" ht="18" customHeight="1">
      <c r="A98" s="182"/>
      <c r="B98" s="183"/>
      <c r="C98" s="63" t="s">
        <v>61</v>
      </c>
      <c r="D98" s="5" t="s">
        <v>74</v>
      </c>
      <c r="E98" s="87">
        <v>1</v>
      </c>
      <c r="F98" s="106">
        <f>F97*E98</f>
        <v>4.787999999999999</v>
      </c>
      <c r="G98" s="106"/>
      <c r="H98" s="83"/>
      <c r="I98" s="84"/>
      <c r="J98" s="83"/>
      <c r="K98" s="84"/>
      <c r="L98" s="83"/>
      <c r="M98" s="84"/>
      <c r="N98" s="84"/>
    </row>
    <row r="99" spans="1:14" s="67" customFormat="1" ht="18" customHeight="1">
      <c r="A99" s="4"/>
      <c r="B99" s="127"/>
      <c r="C99" s="128" t="s">
        <v>182</v>
      </c>
      <c r="D99" s="5" t="s">
        <v>81</v>
      </c>
      <c r="E99" s="87">
        <v>1.03</v>
      </c>
      <c r="F99" s="237">
        <f>(45)*E99/1000</f>
        <v>0.04635</v>
      </c>
      <c r="G99" s="237"/>
      <c r="H99" s="83"/>
      <c r="I99" s="84"/>
      <c r="J99" s="83"/>
      <c r="K99" s="84"/>
      <c r="L99" s="83"/>
      <c r="M99" s="84"/>
      <c r="N99" s="84"/>
    </row>
    <row r="100" spans="1:14" s="130" customFormat="1" ht="17.25" customHeight="1">
      <c r="A100" s="109"/>
      <c r="B100" s="127"/>
      <c r="C100" s="128" t="s">
        <v>183</v>
      </c>
      <c r="D100" s="5" t="s">
        <v>81</v>
      </c>
      <c r="E100" s="87">
        <v>1.03</v>
      </c>
      <c r="F100" s="238">
        <f>(100+90)*E100/1000</f>
        <v>0.1957</v>
      </c>
      <c r="G100" s="238"/>
      <c r="H100" s="83"/>
      <c r="I100" s="84"/>
      <c r="J100" s="83"/>
      <c r="K100" s="84"/>
      <c r="L100" s="83"/>
      <c r="M100" s="84"/>
      <c r="N100" s="84"/>
    </row>
    <row r="101" spans="1:14" ht="18" customHeight="1">
      <c r="A101" s="182"/>
      <c r="B101" s="131"/>
      <c r="C101" s="63" t="s">
        <v>84</v>
      </c>
      <c r="D101" s="5" t="s">
        <v>74</v>
      </c>
      <c r="E101" s="101">
        <f>101.5/100</f>
        <v>1.015</v>
      </c>
      <c r="F101" s="88">
        <f>E101*F97</f>
        <v>4.859819999999999</v>
      </c>
      <c r="G101" s="88"/>
      <c r="H101" s="83"/>
      <c r="I101" s="84"/>
      <c r="J101" s="83"/>
      <c r="K101" s="84"/>
      <c r="L101" s="83"/>
      <c r="M101" s="84"/>
      <c r="N101" s="84"/>
    </row>
    <row r="102" spans="1:14" ht="18" customHeight="1">
      <c r="A102" s="182"/>
      <c r="B102" s="132"/>
      <c r="C102" s="128" t="s">
        <v>79</v>
      </c>
      <c r="D102" s="5" t="s">
        <v>86</v>
      </c>
      <c r="E102" s="101">
        <f>137*0.01</f>
        <v>1.37</v>
      </c>
      <c r="F102" s="106">
        <f>F97*E102</f>
        <v>6.559559999999999</v>
      </c>
      <c r="G102" s="106"/>
      <c r="H102" s="83"/>
      <c r="I102" s="84"/>
      <c r="J102" s="83"/>
      <c r="K102" s="84"/>
      <c r="L102" s="83"/>
      <c r="M102" s="84"/>
      <c r="N102" s="84"/>
    </row>
    <row r="103" spans="1:14" ht="18" customHeight="1">
      <c r="A103" s="182"/>
      <c r="B103" s="127"/>
      <c r="C103" s="63" t="s">
        <v>80</v>
      </c>
      <c r="D103" s="5" t="s">
        <v>74</v>
      </c>
      <c r="E103" s="101">
        <f>(0.84+2.56+0.26)*0.01</f>
        <v>0.0366</v>
      </c>
      <c r="F103" s="106">
        <f>F97*E103</f>
        <v>0.17524079999999997</v>
      </c>
      <c r="G103" s="106"/>
      <c r="H103" s="83"/>
      <c r="I103" s="84"/>
      <c r="J103" s="83"/>
      <c r="K103" s="84"/>
      <c r="L103" s="83"/>
      <c r="M103" s="84"/>
      <c r="N103" s="84"/>
    </row>
    <row r="104" spans="1:14" s="135" customFormat="1" ht="18" customHeight="1">
      <c r="A104" s="96"/>
      <c r="B104" s="96"/>
      <c r="C104" s="133" t="s">
        <v>78</v>
      </c>
      <c r="D104" s="4" t="s">
        <v>138</v>
      </c>
      <c r="E104" s="87">
        <v>7</v>
      </c>
      <c r="F104" s="83">
        <f>SUM(F99:F100)*E104</f>
        <v>1.69435</v>
      </c>
      <c r="G104" s="83"/>
      <c r="H104" s="134"/>
      <c r="I104" s="134"/>
      <c r="J104" s="134"/>
      <c r="K104" s="134"/>
      <c r="L104" s="134"/>
      <c r="M104" s="134"/>
      <c r="N104" s="134"/>
    </row>
    <row r="105" spans="1:14" s="135" customFormat="1" ht="18" customHeight="1">
      <c r="A105" s="96"/>
      <c r="B105" s="96"/>
      <c r="C105" s="133" t="s">
        <v>732</v>
      </c>
      <c r="D105" s="4" t="s">
        <v>92</v>
      </c>
      <c r="E105" s="87">
        <v>1</v>
      </c>
      <c r="F105" s="83">
        <v>1</v>
      </c>
      <c r="G105" s="83"/>
      <c r="H105" s="134"/>
      <c r="I105" s="134"/>
      <c r="J105" s="134"/>
      <c r="K105" s="134"/>
      <c r="L105" s="134"/>
      <c r="M105" s="134"/>
      <c r="N105" s="134"/>
    </row>
    <row r="106" spans="1:14" s="67" customFormat="1" ht="17.25" customHeight="1">
      <c r="A106" s="4"/>
      <c r="B106" s="123"/>
      <c r="C106" s="63" t="s">
        <v>77</v>
      </c>
      <c r="D106" s="5" t="s">
        <v>15</v>
      </c>
      <c r="E106" s="101">
        <f>39*0.01</f>
        <v>0.39</v>
      </c>
      <c r="F106" s="88">
        <f>F97*E106</f>
        <v>1.8673199999999999</v>
      </c>
      <c r="G106" s="88"/>
      <c r="H106" s="83"/>
      <c r="I106" s="84"/>
      <c r="J106" s="83"/>
      <c r="K106" s="84"/>
      <c r="L106" s="83"/>
      <c r="M106" s="84"/>
      <c r="N106" s="84"/>
    </row>
    <row r="107" spans="1:14" s="61" customFormat="1" ht="36" customHeight="1">
      <c r="A107" s="5">
        <f>A97+1</f>
        <v>18</v>
      </c>
      <c r="B107" s="94" t="s">
        <v>37</v>
      </c>
      <c r="C107" s="68" t="s">
        <v>735</v>
      </c>
      <c r="D107" s="69" t="s">
        <v>87</v>
      </c>
      <c r="E107" s="101"/>
      <c r="F107" s="221">
        <f>(7.6+2.1)*2*3.6</f>
        <v>69.84</v>
      </c>
      <c r="G107" s="221"/>
      <c r="H107" s="83"/>
      <c r="I107" s="84"/>
      <c r="J107" s="83"/>
      <c r="K107" s="84"/>
      <c r="L107" s="83"/>
      <c r="M107" s="84"/>
      <c r="N107" s="84"/>
    </row>
    <row r="108" spans="1:14" s="67" customFormat="1" ht="17.25" customHeight="1">
      <c r="A108" s="4"/>
      <c r="B108" s="123"/>
      <c r="C108" s="63" t="s">
        <v>61</v>
      </c>
      <c r="D108" s="5" t="s">
        <v>86</v>
      </c>
      <c r="E108" s="87">
        <v>1</v>
      </c>
      <c r="F108" s="106">
        <f>F107*E108</f>
        <v>69.84</v>
      </c>
      <c r="G108" s="106"/>
      <c r="H108" s="83"/>
      <c r="I108" s="84"/>
      <c r="J108" s="83"/>
      <c r="K108" s="84"/>
      <c r="L108" s="83"/>
      <c r="M108" s="84"/>
      <c r="N108" s="84"/>
    </row>
    <row r="109" spans="1:14" s="67" customFormat="1" ht="17.25" customHeight="1">
      <c r="A109" s="4"/>
      <c r="B109" s="145"/>
      <c r="C109" s="128" t="s">
        <v>158</v>
      </c>
      <c r="D109" s="4" t="s">
        <v>138</v>
      </c>
      <c r="E109" s="87">
        <v>2</v>
      </c>
      <c r="F109" s="88">
        <f>E109*F107</f>
        <v>139.68</v>
      </c>
      <c r="G109" s="88"/>
      <c r="H109" s="83"/>
      <c r="I109" s="84"/>
      <c r="J109" s="83"/>
      <c r="K109" s="84"/>
      <c r="L109" s="83"/>
      <c r="M109" s="84"/>
      <c r="N109" s="84"/>
    </row>
    <row r="110" spans="1:14" s="67" customFormat="1" ht="17.25" customHeight="1">
      <c r="A110" s="4"/>
      <c r="B110" s="123"/>
      <c r="C110" s="63" t="s">
        <v>77</v>
      </c>
      <c r="D110" s="5" t="s">
        <v>15</v>
      </c>
      <c r="E110" s="101">
        <f>7.68*0.01*0.5</f>
        <v>0.0384</v>
      </c>
      <c r="F110" s="88">
        <f>F107*E110</f>
        <v>2.681856</v>
      </c>
      <c r="G110" s="88"/>
      <c r="H110" s="83"/>
      <c r="I110" s="84"/>
      <c r="J110" s="83"/>
      <c r="K110" s="84"/>
      <c r="L110" s="83"/>
      <c r="M110" s="84"/>
      <c r="N110" s="84"/>
    </row>
    <row r="111" spans="1:14" s="46" customFormat="1" ht="21" customHeight="1">
      <c r="A111" s="432"/>
      <c r="B111" s="127"/>
      <c r="C111" s="434" t="s">
        <v>174</v>
      </c>
      <c r="D111" s="433"/>
      <c r="E111" s="101"/>
      <c r="F111" s="42"/>
      <c r="G111" s="42"/>
      <c r="H111" s="83"/>
      <c r="I111" s="84"/>
      <c r="J111" s="83"/>
      <c r="K111" s="84"/>
      <c r="L111" s="83"/>
      <c r="M111" s="84"/>
      <c r="N111" s="84"/>
    </row>
    <row r="112" spans="1:14" s="471" customFormat="1" ht="36" customHeight="1">
      <c r="A112" s="174">
        <f>A107+1</f>
        <v>19</v>
      </c>
      <c r="B112" s="470" t="s">
        <v>10</v>
      </c>
      <c r="C112" s="154" t="s">
        <v>652</v>
      </c>
      <c r="D112" s="69" t="s">
        <v>73</v>
      </c>
      <c r="E112" s="102"/>
      <c r="F112" s="585">
        <f>F120*0.15</f>
        <v>16.2</v>
      </c>
      <c r="G112" s="585"/>
      <c r="H112" s="84"/>
      <c r="I112" s="84"/>
      <c r="J112" s="83"/>
      <c r="K112" s="83"/>
      <c r="L112" s="83"/>
      <c r="M112" s="83"/>
      <c r="N112" s="84"/>
    </row>
    <row r="113" spans="1:14" s="471" customFormat="1" ht="18" customHeight="1">
      <c r="A113" s="5"/>
      <c r="B113" s="222"/>
      <c r="C113" s="63" t="s">
        <v>61</v>
      </c>
      <c r="D113" s="5" t="s">
        <v>74</v>
      </c>
      <c r="E113" s="87">
        <v>1</v>
      </c>
      <c r="F113" s="88">
        <f>E113*F112</f>
        <v>16.2</v>
      </c>
      <c r="G113" s="88"/>
      <c r="H113" s="84"/>
      <c r="I113" s="84"/>
      <c r="J113" s="83"/>
      <c r="K113" s="83"/>
      <c r="L113" s="83"/>
      <c r="M113" s="83"/>
      <c r="N113" s="84"/>
    </row>
    <row r="114" spans="1:14" s="471" customFormat="1" ht="18" customHeight="1">
      <c r="A114" s="179"/>
      <c r="B114" s="472" t="s">
        <v>645</v>
      </c>
      <c r="C114" s="155" t="s">
        <v>137</v>
      </c>
      <c r="D114" s="5" t="s">
        <v>74</v>
      </c>
      <c r="E114" s="103">
        <v>1.15</v>
      </c>
      <c r="F114" s="586">
        <f>E114*F112</f>
        <v>18.63</v>
      </c>
      <c r="G114" s="651"/>
      <c r="H114" s="84"/>
      <c r="I114" s="84"/>
      <c r="J114" s="83"/>
      <c r="K114" s="83"/>
      <c r="L114" s="83"/>
      <c r="M114" s="83"/>
      <c r="N114" s="84"/>
    </row>
    <row r="115" spans="1:14" s="471" customFormat="1" ht="18" customHeight="1">
      <c r="A115" s="179"/>
      <c r="B115" s="472"/>
      <c r="C115" s="63" t="s">
        <v>77</v>
      </c>
      <c r="D115" s="5" t="s">
        <v>15</v>
      </c>
      <c r="E115" s="103">
        <v>0.02</v>
      </c>
      <c r="F115" s="586">
        <f>E115*F112</f>
        <v>0.324</v>
      </c>
      <c r="G115" s="586"/>
      <c r="H115" s="83"/>
      <c r="I115" s="84"/>
      <c r="J115" s="83"/>
      <c r="K115" s="83"/>
      <c r="L115" s="83"/>
      <c r="M115" s="83"/>
      <c r="N115" s="84"/>
    </row>
    <row r="116" spans="1:14" s="229" customFormat="1" ht="36" customHeight="1">
      <c r="A116" s="5">
        <f>A112+1</f>
        <v>20</v>
      </c>
      <c r="B116" s="223" t="s">
        <v>4</v>
      </c>
      <c r="C116" s="68" t="s">
        <v>651</v>
      </c>
      <c r="D116" s="69" t="s">
        <v>73</v>
      </c>
      <c r="E116" s="100"/>
      <c r="F116" s="587">
        <f>F120*0.12</f>
        <v>12.959999999999999</v>
      </c>
      <c r="G116" s="587"/>
      <c r="H116" s="84"/>
      <c r="I116" s="84"/>
      <c r="J116" s="83"/>
      <c r="K116" s="83"/>
      <c r="L116" s="83"/>
      <c r="M116" s="83"/>
      <c r="N116" s="84"/>
    </row>
    <row r="117" spans="1:14" s="232" customFormat="1" ht="18" customHeight="1">
      <c r="A117" s="4"/>
      <c r="B117" s="222"/>
      <c r="C117" s="63" t="s">
        <v>61</v>
      </c>
      <c r="D117" s="5" t="s">
        <v>74</v>
      </c>
      <c r="E117" s="87">
        <v>1</v>
      </c>
      <c r="F117" s="88">
        <f>E117*F116</f>
        <v>12.959999999999999</v>
      </c>
      <c r="G117" s="88"/>
      <c r="H117" s="84"/>
      <c r="I117" s="84"/>
      <c r="J117" s="83"/>
      <c r="K117" s="83"/>
      <c r="L117" s="83"/>
      <c r="M117" s="83"/>
      <c r="N117" s="84"/>
    </row>
    <row r="118" spans="1:14" s="232" customFormat="1" ht="18" customHeight="1">
      <c r="A118" s="4"/>
      <c r="B118" s="222" t="s">
        <v>646</v>
      </c>
      <c r="C118" s="128" t="s">
        <v>83</v>
      </c>
      <c r="D118" s="5" t="s">
        <v>74</v>
      </c>
      <c r="E118" s="101">
        <v>1.02</v>
      </c>
      <c r="F118" s="588">
        <f>E118*F116</f>
        <v>13.219199999999999</v>
      </c>
      <c r="G118" s="588"/>
      <c r="H118" s="83"/>
      <c r="I118" s="84"/>
      <c r="J118" s="83"/>
      <c r="K118" s="83"/>
      <c r="L118" s="83"/>
      <c r="M118" s="83"/>
      <c r="N118" s="84"/>
    </row>
    <row r="119" spans="1:14" s="232" customFormat="1" ht="18" customHeight="1">
      <c r="A119" s="4"/>
      <c r="B119" s="222"/>
      <c r="C119" s="63" t="s">
        <v>77</v>
      </c>
      <c r="D119" s="5" t="s">
        <v>15</v>
      </c>
      <c r="E119" s="87">
        <v>0.62</v>
      </c>
      <c r="F119" s="588">
        <f>F116*E119</f>
        <v>8.0352</v>
      </c>
      <c r="G119" s="588"/>
      <c r="H119" s="83"/>
      <c r="I119" s="84"/>
      <c r="J119" s="83"/>
      <c r="K119" s="83"/>
      <c r="L119" s="83"/>
      <c r="M119" s="83"/>
      <c r="N119" s="84"/>
    </row>
    <row r="120" spans="1:14" s="292" customFormat="1" ht="54" customHeight="1">
      <c r="A120" s="302">
        <f>A116+1</f>
        <v>21</v>
      </c>
      <c r="B120" s="285" t="s">
        <v>647</v>
      </c>
      <c r="C120" s="473" t="s">
        <v>751</v>
      </c>
      <c r="D120" s="69" t="s">
        <v>87</v>
      </c>
      <c r="E120" s="489"/>
      <c r="F120" s="589">
        <v>108</v>
      </c>
      <c r="G120" s="585"/>
      <c r="H120" s="84"/>
      <c r="I120" s="84"/>
      <c r="J120" s="83"/>
      <c r="K120" s="83"/>
      <c r="L120" s="83"/>
      <c r="M120" s="83"/>
      <c r="N120" s="84"/>
    </row>
    <row r="121" spans="1:14" s="292" customFormat="1" ht="17.25" customHeight="1">
      <c r="A121" s="303"/>
      <c r="B121" s="285"/>
      <c r="C121" s="63" t="s">
        <v>61</v>
      </c>
      <c r="D121" s="5" t="s">
        <v>86</v>
      </c>
      <c r="E121" s="490">
        <v>1</v>
      </c>
      <c r="F121" s="590">
        <f>F120*E121</f>
        <v>108</v>
      </c>
      <c r="G121" s="44"/>
      <c r="H121" s="84"/>
      <c r="I121" s="84"/>
      <c r="J121" s="83"/>
      <c r="K121" s="83"/>
      <c r="L121" s="83"/>
      <c r="M121" s="83"/>
      <c r="N121" s="84"/>
    </row>
    <row r="122" spans="1:14" s="292" customFormat="1" ht="18" customHeight="1">
      <c r="A122" s="303"/>
      <c r="B122" s="285"/>
      <c r="C122" s="474" t="s">
        <v>649</v>
      </c>
      <c r="D122" s="5" t="s">
        <v>86</v>
      </c>
      <c r="E122" s="490">
        <v>1.02</v>
      </c>
      <c r="F122" s="590">
        <f>F120*E122</f>
        <v>110.16</v>
      </c>
      <c r="G122" s="44"/>
      <c r="H122" s="84"/>
      <c r="I122" s="84"/>
      <c r="J122" s="83"/>
      <c r="K122" s="83"/>
      <c r="L122" s="83"/>
      <c r="M122" s="83"/>
      <c r="N122" s="84"/>
    </row>
    <row r="123" spans="1:14" s="292" customFormat="1" ht="17.25" customHeight="1">
      <c r="A123" s="303"/>
      <c r="B123" s="297"/>
      <c r="C123" s="475" t="s">
        <v>648</v>
      </c>
      <c r="D123" s="302" t="s">
        <v>138</v>
      </c>
      <c r="E123" s="488">
        <v>0.9</v>
      </c>
      <c r="F123" s="44">
        <f>E123*F120</f>
        <v>97.2</v>
      </c>
      <c r="G123" s="44"/>
      <c r="H123" s="84"/>
      <c r="I123" s="84"/>
      <c r="J123" s="83"/>
      <c r="K123" s="83"/>
      <c r="L123" s="83"/>
      <c r="M123" s="83"/>
      <c r="N123" s="84"/>
    </row>
    <row r="124" spans="1:14" s="292" customFormat="1" ht="17.25" customHeight="1">
      <c r="A124" s="303"/>
      <c r="B124" s="285"/>
      <c r="C124" s="63" t="s">
        <v>77</v>
      </c>
      <c r="D124" s="5" t="s">
        <v>15</v>
      </c>
      <c r="E124" s="488">
        <f>0.08/100</f>
        <v>0.0008</v>
      </c>
      <c r="F124" s="44">
        <f>F120*E124</f>
        <v>0.0864</v>
      </c>
      <c r="G124" s="44"/>
      <c r="H124" s="83"/>
      <c r="I124" s="84"/>
      <c r="J124" s="83"/>
      <c r="K124" s="83"/>
      <c r="L124" s="83"/>
      <c r="M124" s="83"/>
      <c r="N124" s="84"/>
    </row>
    <row r="125" spans="1:14" s="471" customFormat="1" ht="34.5" customHeight="1">
      <c r="A125" s="174">
        <f>A120+1</f>
        <v>22</v>
      </c>
      <c r="B125" s="470" t="s">
        <v>10</v>
      </c>
      <c r="C125" s="154" t="s">
        <v>650</v>
      </c>
      <c r="D125" s="69" t="s">
        <v>73</v>
      </c>
      <c r="E125" s="102"/>
      <c r="F125" s="585">
        <f>590*0.1</f>
        <v>59</v>
      </c>
      <c r="G125" s="585"/>
      <c r="H125" s="84"/>
      <c r="I125" s="84"/>
      <c r="J125" s="83"/>
      <c r="K125" s="83"/>
      <c r="L125" s="83"/>
      <c r="M125" s="83"/>
      <c r="N125" s="84"/>
    </row>
    <row r="126" spans="1:14" s="471" customFormat="1" ht="18" customHeight="1">
      <c r="A126" s="5"/>
      <c r="B126" s="222"/>
      <c r="C126" s="63" t="s">
        <v>61</v>
      </c>
      <c r="D126" s="5" t="s">
        <v>74</v>
      </c>
      <c r="E126" s="87">
        <v>1</v>
      </c>
      <c r="F126" s="88">
        <f>E126*F125</f>
        <v>59</v>
      </c>
      <c r="G126" s="88"/>
      <c r="H126" s="84"/>
      <c r="I126" s="84"/>
      <c r="J126" s="83"/>
      <c r="K126" s="83"/>
      <c r="L126" s="83"/>
      <c r="M126" s="83"/>
      <c r="N126" s="84"/>
    </row>
    <row r="127" spans="1:14" s="471" customFormat="1" ht="18" customHeight="1">
      <c r="A127" s="179"/>
      <c r="B127" s="472" t="s">
        <v>645</v>
      </c>
      <c r="C127" s="155" t="s">
        <v>137</v>
      </c>
      <c r="D127" s="5" t="s">
        <v>74</v>
      </c>
      <c r="E127" s="103">
        <v>1.15</v>
      </c>
      <c r="F127" s="178">
        <f>E127*F125</f>
        <v>67.85</v>
      </c>
      <c r="G127" s="652"/>
      <c r="H127" s="84"/>
      <c r="I127" s="84"/>
      <c r="J127" s="83"/>
      <c r="K127" s="83"/>
      <c r="L127" s="83"/>
      <c r="M127" s="83"/>
      <c r="N127" s="84"/>
    </row>
    <row r="128" spans="1:14" s="471" customFormat="1" ht="18" customHeight="1">
      <c r="A128" s="179"/>
      <c r="B128" s="472"/>
      <c r="C128" s="63" t="s">
        <v>77</v>
      </c>
      <c r="D128" s="5" t="s">
        <v>15</v>
      </c>
      <c r="E128" s="103">
        <v>0.02</v>
      </c>
      <c r="F128" s="178">
        <f>E128*F125</f>
        <v>1.18</v>
      </c>
      <c r="G128" s="178"/>
      <c r="H128" s="83"/>
      <c r="I128" s="84"/>
      <c r="J128" s="83"/>
      <c r="K128" s="83"/>
      <c r="L128" s="83"/>
      <c r="M128" s="83"/>
      <c r="N128" s="84"/>
    </row>
    <row r="129" spans="1:14" s="229" customFormat="1" ht="54" customHeight="1">
      <c r="A129" s="5">
        <f>A125+1</f>
        <v>23</v>
      </c>
      <c r="B129" s="223" t="s">
        <v>4</v>
      </c>
      <c r="C129" s="68" t="s">
        <v>752</v>
      </c>
      <c r="D129" s="69" t="s">
        <v>73</v>
      </c>
      <c r="E129" s="100"/>
      <c r="F129" s="587">
        <f>40.8+35.64+11.1</f>
        <v>87.53999999999999</v>
      </c>
      <c r="G129" s="587"/>
      <c r="H129" s="84"/>
      <c r="I129" s="84"/>
      <c r="J129" s="83"/>
      <c r="K129" s="83"/>
      <c r="L129" s="83"/>
      <c r="M129" s="83"/>
      <c r="N129" s="84"/>
    </row>
    <row r="130" spans="1:14" s="232" customFormat="1" ht="18" customHeight="1">
      <c r="A130" s="4"/>
      <c r="B130" s="222"/>
      <c r="C130" s="63" t="s">
        <v>61</v>
      </c>
      <c r="D130" s="5" t="s">
        <v>74</v>
      </c>
      <c r="E130" s="87">
        <v>1</v>
      </c>
      <c r="F130" s="88">
        <f>E130*F129</f>
        <v>87.53999999999999</v>
      </c>
      <c r="G130" s="88"/>
      <c r="H130" s="84"/>
      <c r="I130" s="84"/>
      <c r="J130" s="83"/>
      <c r="K130" s="83"/>
      <c r="L130" s="83"/>
      <c r="M130" s="83"/>
      <c r="N130" s="84"/>
    </row>
    <row r="131" spans="1:14" s="232" customFormat="1" ht="18" customHeight="1">
      <c r="A131" s="4"/>
      <c r="B131" s="222" t="s">
        <v>646</v>
      </c>
      <c r="C131" s="63" t="s">
        <v>84</v>
      </c>
      <c r="D131" s="5" t="s">
        <v>74</v>
      </c>
      <c r="E131" s="101">
        <v>1.02</v>
      </c>
      <c r="F131" s="88">
        <f>E131*F129</f>
        <v>89.29079999999999</v>
      </c>
      <c r="G131" s="88"/>
      <c r="H131" s="83"/>
      <c r="I131" s="84"/>
      <c r="J131" s="83"/>
      <c r="K131" s="83"/>
      <c r="L131" s="83"/>
      <c r="M131" s="83"/>
      <c r="N131" s="84"/>
    </row>
    <row r="132" spans="1:14" s="232" customFormat="1" ht="17.25" customHeight="1">
      <c r="A132" s="4"/>
      <c r="B132" s="233" t="s">
        <v>177</v>
      </c>
      <c r="C132" s="128" t="s">
        <v>182</v>
      </c>
      <c r="D132" s="5" t="s">
        <v>81</v>
      </c>
      <c r="E132" s="87">
        <v>1.03</v>
      </c>
      <c r="F132" s="237">
        <f>(1610)*E132/1000</f>
        <v>1.6582999999999999</v>
      </c>
      <c r="G132" s="237"/>
      <c r="H132" s="83"/>
      <c r="I132" s="84"/>
      <c r="J132" s="83"/>
      <c r="K132" s="84"/>
      <c r="L132" s="83"/>
      <c r="M132" s="84"/>
      <c r="N132" s="84"/>
    </row>
    <row r="133" spans="1:14" s="130" customFormat="1" ht="17.25" customHeight="1">
      <c r="A133" s="109"/>
      <c r="B133" s="127"/>
      <c r="C133" s="128" t="s">
        <v>183</v>
      </c>
      <c r="D133" s="5" t="s">
        <v>81</v>
      </c>
      <c r="E133" s="87">
        <v>1.03</v>
      </c>
      <c r="F133" s="238">
        <f>(1100)*E133/1000</f>
        <v>1.133</v>
      </c>
      <c r="G133" s="238"/>
      <c r="H133" s="83"/>
      <c r="I133" s="84"/>
      <c r="J133" s="83"/>
      <c r="K133" s="84"/>
      <c r="L133" s="83"/>
      <c r="M133" s="84"/>
      <c r="N133" s="84"/>
    </row>
    <row r="134" spans="1:14" s="232" customFormat="1" ht="18" customHeight="1">
      <c r="A134" s="4"/>
      <c r="B134" s="222"/>
      <c r="C134" s="63" t="s">
        <v>77</v>
      </c>
      <c r="D134" s="5" t="s">
        <v>15</v>
      </c>
      <c r="E134" s="87">
        <v>0.62</v>
      </c>
      <c r="F134" s="88">
        <f>F129*E134</f>
        <v>54.27479999999999</v>
      </c>
      <c r="G134" s="88"/>
      <c r="H134" s="83"/>
      <c r="I134" s="84"/>
      <c r="J134" s="83"/>
      <c r="K134" s="83"/>
      <c r="L134" s="83"/>
      <c r="M134" s="83"/>
      <c r="N134" s="84"/>
    </row>
    <row r="135" spans="1:14" s="594" customFormat="1" ht="21" customHeight="1">
      <c r="A135" s="244">
        <f>A129+1</f>
        <v>24</v>
      </c>
      <c r="B135" s="244" t="s">
        <v>810</v>
      </c>
      <c r="C135" s="607" t="s">
        <v>812</v>
      </c>
      <c r="D135" s="576" t="s">
        <v>105</v>
      </c>
      <c r="E135" s="576"/>
      <c r="F135" s="604">
        <f>196-39</f>
        <v>157</v>
      </c>
      <c r="G135" s="653"/>
      <c r="H135" s="242"/>
      <c r="I135" s="242"/>
      <c r="J135" s="241"/>
      <c r="K135" s="241"/>
      <c r="L135" s="241"/>
      <c r="M135" s="241"/>
      <c r="N135" s="242"/>
    </row>
    <row r="136" spans="1:14" s="596" customFormat="1" ht="18" customHeight="1">
      <c r="A136" s="244"/>
      <c r="B136" s="245"/>
      <c r="C136" s="563" t="s">
        <v>61</v>
      </c>
      <c r="D136" s="541" t="str">
        <f>D135</f>
        <v>გრძ.მ.</v>
      </c>
      <c r="E136" s="87">
        <v>1</v>
      </c>
      <c r="F136" s="566">
        <f>F135*E136</f>
        <v>157</v>
      </c>
      <c r="G136" s="566"/>
      <c r="H136" s="242"/>
      <c r="I136" s="242"/>
      <c r="J136" s="241"/>
      <c r="K136" s="241"/>
      <c r="L136" s="241"/>
      <c r="M136" s="241"/>
      <c r="N136" s="242"/>
    </row>
    <row r="137" spans="1:14" s="596" customFormat="1" ht="18" customHeight="1">
      <c r="A137" s="593"/>
      <c r="B137" s="245" t="s">
        <v>811</v>
      </c>
      <c r="C137" s="595" t="s">
        <v>822</v>
      </c>
      <c r="D137" s="123" t="str">
        <f>D136</f>
        <v>გრძ.მ.</v>
      </c>
      <c r="E137" s="564">
        <v>1</v>
      </c>
      <c r="F137" s="566">
        <f>F135*E137</f>
        <v>157</v>
      </c>
      <c r="G137" s="566"/>
      <c r="H137" s="242"/>
      <c r="I137" s="242"/>
      <c r="J137" s="241"/>
      <c r="K137" s="241"/>
      <c r="L137" s="241"/>
      <c r="M137" s="241"/>
      <c r="N137" s="242"/>
    </row>
    <row r="138" spans="1:14" s="599" customFormat="1" ht="18" customHeight="1">
      <c r="A138" s="145"/>
      <c r="B138" s="244" t="s">
        <v>646</v>
      </c>
      <c r="C138" s="577" t="s">
        <v>83</v>
      </c>
      <c r="D138" s="123" t="s">
        <v>805</v>
      </c>
      <c r="E138" s="564">
        <f>1.02/100</f>
        <v>0.0102</v>
      </c>
      <c r="F138" s="566">
        <f>E138*F136</f>
        <v>1.6014000000000002</v>
      </c>
      <c r="G138" s="566"/>
      <c r="H138" s="242"/>
      <c r="I138" s="242"/>
      <c r="J138" s="241"/>
      <c r="K138" s="241"/>
      <c r="L138" s="241"/>
      <c r="M138" s="241"/>
      <c r="N138" s="242"/>
    </row>
    <row r="139" spans="1:14" s="570" customFormat="1" ht="18" customHeight="1">
      <c r="A139" s="568"/>
      <c r="B139" s="569"/>
      <c r="C139" s="577" t="s">
        <v>139</v>
      </c>
      <c r="D139" s="123" t="s">
        <v>805</v>
      </c>
      <c r="E139" s="564">
        <f>0.6/100</f>
        <v>0.006</v>
      </c>
      <c r="F139" s="88">
        <f>F137*E139</f>
        <v>0.9420000000000001</v>
      </c>
      <c r="G139" s="88"/>
      <c r="H139" s="242"/>
      <c r="I139" s="242"/>
      <c r="J139" s="241"/>
      <c r="K139" s="241"/>
      <c r="L139" s="241"/>
      <c r="M139" s="241"/>
      <c r="N139" s="242"/>
    </row>
    <row r="140" spans="1:14" s="570" customFormat="1" ht="18" customHeight="1">
      <c r="A140" s="568"/>
      <c r="B140" s="244" t="s">
        <v>800</v>
      </c>
      <c r="C140" s="577" t="s">
        <v>94</v>
      </c>
      <c r="D140" s="123" t="s">
        <v>805</v>
      </c>
      <c r="E140" s="564">
        <v>1.21</v>
      </c>
      <c r="F140" s="566">
        <f>F139*E140</f>
        <v>1.13982</v>
      </c>
      <c r="G140" s="566"/>
      <c r="H140" s="242"/>
      <c r="I140" s="242"/>
      <c r="J140" s="241"/>
      <c r="K140" s="241"/>
      <c r="L140" s="241"/>
      <c r="M140" s="241"/>
      <c r="N140" s="242"/>
    </row>
    <row r="141" spans="1:14" s="570" customFormat="1" ht="18" customHeight="1">
      <c r="A141" s="568"/>
      <c r="B141" s="244" t="s">
        <v>801</v>
      </c>
      <c r="C141" s="577" t="s">
        <v>95</v>
      </c>
      <c r="D141" s="123" t="s">
        <v>81</v>
      </c>
      <c r="E141" s="564">
        <v>0.304</v>
      </c>
      <c r="F141" s="566">
        <f>E141*F139</f>
        <v>0.286368</v>
      </c>
      <c r="G141" s="566"/>
      <c r="H141" s="242"/>
      <c r="I141" s="242"/>
      <c r="J141" s="241"/>
      <c r="K141" s="241"/>
      <c r="L141" s="241"/>
      <c r="M141" s="241"/>
      <c r="N141" s="242"/>
    </row>
    <row r="142" spans="1:14" s="598" customFormat="1" ht="18" customHeight="1">
      <c r="A142" s="597"/>
      <c r="B142" s="245"/>
      <c r="C142" s="563" t="s">
        <v>77</v>
      </c>
      <c r="D142" s="123" t="s">
        <v>15</v>
      </c>
      <c r="E142" s="564">
        <f>9.6/100</f>
        <v>0.096</v>
      </c>
      <c r="F142" s="566">
        <f>E142*F135</f>
        <v>15.072000000000001</v>
      </c>
      <c r="G142" s="566"/>
      <c r="H142" s="83"/>
      <c r="I142" s="242"/>
      <c r="J142" s="241"/>
      <c r="K142" s="241"/>
      <c r="L142" s="241"/>
      <c r="M142" s="241"/>
      <c r="N142" s="242"/>
    </row>
    <row r="143" spans="1:14" s="594" customFormat="1" ht="21" customHeight="1">
      <c r="A143" s="244">
        <f>A135+1</f>
        <v>25</v>
      </c>
      <c r="B143" s="244" t="s">
        <v>810</v>
      </c>
      <c r="C143" s="607" t="s">
        <v>812</v>
      </c>
      <c r="D143" s="576" t="s">
        <v>105</v>
      </c>
      <c r="E143" s="576"/>
      <c r="F143" s="604">
        <v>49</v>
      </c>
      <c r="G143" s="653"/>
      <c r="H143" s="242"/>
      <c r="I143" s="242"/>
      <c r="J143" s="241"/>
      <c r="K143" s="241"/>
      <c r="L143" s="241"/>
      <c r="M143" s="241"/>
      <c r="N143" s="242"/>
    </row>
    <row r="144" spans="1:14" s="596" customFormat="1" ht="18" customHeight="1">
      <c r="A144" s="244"/>
      <c r="B144" s="245"/>
      <c r="C144" s="563" t="s">
        <v>61</v>
      </c>
      <c r="D144" s="541" t="str">
        <f>D143</f>
        <v>გრძ.მ.</v>
      </c>
      <c r="E144" s="87">
        <v>1</v>
      </c>
      <c r="F144" s="566">
        <f>F143*E144</f>
        <v>49</v>
      </c>
      <c r="G144" s="566"/>
      <c r="H144" s="242"/>
      <c r="I144" s="242"/>
      <c r="J144" s="241"/>
      <c r="K144" s="241"/>
      <c r="L144" s="241"/>
      <c r="M144" s="241"/>
      <c r="N144" s="242"/>
    </row>
    <row r="145" spans="1:14" s="596" customFormat="1" ht="18" customHeight="1">
      <c r="A145" s="593"/>
      <c r="B145" s="245" t="s">
        <v>811</v>
      </c>
      <c r="C145" s="595" t="s">
        <v>823</v>
      </c>
      <c r="D145" s="123" t="str">
        <f>D144</f>
        <v>გრძ.მ.</v>
      </c>
      <c r="E145" s="564">
        <v>1</v>
      </c>
      <c r="F145" s="566">
        <f>F143*E145</f>
        <v>49</v>
      </c>
      <c r="G145" s="566"/>
      <c r="H145" s="242"/>
      <c r="I145" s="242"/>
      <c r="J145" s="241"/>
      <c r="K145" s="241"/>
      <c r="L145" s="241"/>
      <c r="M145" s="241"/>
      <c r="N145" s="242"/>
    </row>
    <row r="146" spans="1:14" s="599" customFormat="1" ht="18" customHeight="1">
      <c r="A146" s="145"/>
      <c r="B146" s="244" t="s">
        <v>646</v>
      </c>
      <c r="C146" s="577" t="s">
        <v>83</v>
      </c>
      <c r="D146" s="123" t="s">
        <v>805</v>
      </c>
      <c r="E146" s="564">
        <f>1.02/100</f>
        <v>0.0102</v>
      </c>
      <c r="F146" s="566">
        <f>E146*F144</f>
        <v>0.4998</v>
      </c>
      <c r="G146" s="566"/>
      <c r="H146" s="242"/>
      <c r="I146" s="242"/>
      <c r="J146" s="241"/>
      <c r="K146" s="241"/>
      <c r="L146" s="241"/>
      <c r="M146" s="241"/>
      <c r="N146" s="242"/>
    </row>
    <row r="147" spans="1:14" s="570" customFormat="1" ht="18" customHeight="1">
      <c r="A147" s="568"/>
      <c r="B147" s="569"/>
      <c r="C147" s="577" t="s">
        <v>139</v>
      </c>
      <c r="D147" s="123" t="s">
        <v>805</v>
      </c>
      <c r="E147" s="564">
        <f>0.6/100</f>
        <v>0.006</v>
      </c>
      <c r="F147" s="88">
        <f>F145*E147</f>
        <v>0.294</v>
      </c>
      <c r="G147" s="88"/>
      <c r="H147" s="242"/>
      <c r="I147" s="242"/>
      <c r="J147" s="241"/>
      <c r="K147" s="241"/>
      <c r="L147" s="241"/>
      <c r="M147" s="241"/>
      <c r="N147" s="242"/>
    </row>
    <row r="148" spans="1:14" s="570" customFormat="1" ht="18" customHeight="1">
      <c r="A148" s="568"/>
      <c r="B148" s="244" t="s">
        <v>800</v>
      </c>
      <c r="C148" s="577" t="s">
        <v>94</v>
      </c>
      <c r="D148" s="123" t="s">
        <v>805</v>
      </c>
      <c r="E148" s="564">
        <v>1.21</v>
      </c>
      <c r="F148" s="566">
        <f>F147*E148</f>
        <v>0.35573999999999995</v>
      </c>
      <c r="G148" s="566"/>
      <c r="H148" s="242"/>
      <c r="I148" s="242"/>
      <c r="J148" s="241"/>
      <c r="K148" s="241"/>
      <c r="L148" s="241"/>
      <c r="M148" s="241"/>
      <c r="N148" s="242"/>
    </row>
    <row r="149" spans="1:14" s="570" customFormat="1" ht="18" customHeight="1">
      <c r="A149" s="568"/>
      <c r="B149" s="244" t="s">
        <v>801</v>
      </c>
      <c r="C149" s="577" t="s">
        <v>95</v>
      </c>
      <c r="D149" s="123" t="s">
        <v>81</v>
      </c>
      <c r="E149" s="564">
        <v>0.304</v>
      </c>
      <c r="F149" s="566">
        <f>E149*F147</f>
        <v>0.089376</v>
      </c>
      <c r="G149" s="566"/>
      <c r="H149" s="242"/>
      <c r="I149" s="242"/>
      <c r="J149" s="241"/>
      <c r="K149" s="241"/>
      <c r="L149" s="241"/>
      <c r="M149" s="241"/>
      <c r="N149" s="242"/>
    </row>
    <row r="150" spans="1:14" s="598" customFormat="1" ht="18" customHeight="1">
      <c r="A150" s="597"/>
      <c r="B150" s="245"/>
      <c r="C150" s="563" t="s">
        <v>77</v>
      </c>
      <c r="D150" s="123" t="s">
        <v>15</v>
      </c>
      <c r="E150" s="564">
        <f>9.6/100</f>
        <v>0.096</v>
      </c>
      <c r="F150" s="566">
        <f>E150*F143</f>
        <v>4.704</v>
      </c>
      <c r="G150" s="566"/>
      <c r="H150" s="83"/>
      <c r="I150" s="242"/>
      <c r="J150" s="241"/>
      <c r="K150" s="241"/>
      <c r="L150" s="241"/>
      <c r="M150" s="241"/>
      <c r="N150" s="242"/>
    </row>
    <row r="151" spans="1:14" s="594" customFormat="1" ht="36" customHeight="1">
      <c r="A151" s="244">
        <f>A143+1</f>
        <v>26</v>
      </c>
      <c r="B151" s="244" t="s">
        <v>819</v>
      </c>
      <c r="C151" s="607" t="s">
        <v>821</v>
      </c>
      <c r="D151" s="576" t="s">
        <v>804</v>
      </c>
      <c r="E151" s="576"/>
      <c r="F151" s="604">
        <f>590*1.1</f>
        <v>649</v>
      </c>
      <c r="G151" s="653"/>
      <c r="H151" s="242"/>
      <c r="I151" s="242"/>
      <c r="J151" s="241"/>
      <c r="K151" s="241"/>
      <c r="L151" s="241"/>
      <c r="M151" s="241"/>
      <c r="N151" s="242"/>
    </row>
    <row r="152" spans="1:14" s="567" customFormat="1" ht="18" customHeight="1">
      <c r="A152" s="244"/>
      <c r="B152" s="562"/>
      <c r="C152" s="563" t="s">
        <v>61</v>
      </c>
      <c r="D152" s="123" t="s">
        <v>803</v>
      </c>
      <c r="E152" s="608">
        <v>1</v>
      </c>
      <c r="F152" s="243">
        <f>E152*F151</f>
        <v>649</v>
      </c>
      <c r="G152" s="566"/>
      <c r="H152" s="566"/>
      <c r="I152" s="243"/>
      <c r="J152" s="566"/>
      <c r="K152" s="243"/>
      <c r="L152" s="243"/>
      <c r="M152" s="566"/>
      <c r="N152" s="566"/>
    </row>
    <row r="153" spans="1:14" s="610" customFormat="1" ht="18" customHeight="1">
      <c r="A153" s="609"/>
      <c r="B153" s="181"/>
      <c r="C153" s="577" t="s">
        <v>93</v>
      </c>
      <c r="D153" s="123" t="s">
        <v>805</v>
      </c>
      <c r="E153" s="579">
        <f>2.68/100</f>
        <v>0.0268</v>
      </c>
      <c r="F153" s="243">
        <f>F151*E153</f>
        <v>17.3932</v>
      </c>
      <c r="G153" s="243"/>
      <c r="H153" s="241"/>
      <c r="I153" s="242"/>
      <c r="J153" s="241"/>
      <c r="K153" s="242"/>
      <c r="L153" s="241"/>
      <c r="M153" s="242"/>
      <c r="N153" s="242"/>
    </row>
    <row r="154" spans="1:14" s="611" customFormat="1" ht="18" customHeight="1">
      <c r="A154" s="123"/>
      <c r="B154" s="123"/>
      <c r="C154" s="577" t="s">
        <v>94</v>
      </c>
      <c r="D154" s="123" t="s">
        <v>805</v>
      </c>
      <c r="E154" s="564">
        <v>1.16</v>
      </c>
      <c r="F154" s="566">
        <f>F153*E154</f>
        <v>20.176112</v>
      </c>
      <c r="G154" s="566"/>
      <c r="H154" s="241"/>
      <c r="I154" s="242"/>
      <c r="J154" s="241"/>
      <c r="K154" s="242"/>
      <c r="L154" s="241"/>
      <c r="M154" s="242"/>
      <c r="N154" s="242"/>
    </row>
    <row r="155" spans="1:14" s="611" customFormat="1" ht="18" customHeight="1">
      <c r="A155" s="123"/>
      <c r="B155" s="123"/>
      <c r="C155" s="577" t="s">
        <v>95</v>
      </c>
      <c r="D155" s="123" t="s">
        <v>81</v>
      </c>
      <c r="E155" s="579">
        <v>0.416</v>
      </c>
      <c r="F155" s="566">
        <f>E155*F153</f>
        <v>7.2355712</v>
      </c>
      <c r="G155" s="566"/>
      <c r="H155" s="241"/>
      <c r="I155" s="242"/>
      <c r="J155" s="241"/>
      <c r="K155" s="242"/>
      <c r="L155" s="241"/>
      <c r="M155" s="242"/>
      <c r="N155" s="242"/>
    </row>
    <row r="156" spans="1:14" s="567" customFormat="1" ht="18" customHeight="1">
      <c r="A156" s="561"/>
      <c r="B156" s="562"/>
      <c r="C156" s="563" t="s">
        <v>820</v>
      </c>
      <c r="D156" s="123" t="s">
        <v>803</v>
      </c>
      <c r="E156" s="608">
        <v>1</v>
      </c>
      <c r="F156" s="243">
        <f>E156*F151</f>
        <v>649</v>
      </c>
      <c r="G156" s="566"/>
      <c r="H156" s="566"/>
      <c r="I156" s="243"/>
      <c r="J156" s="566"/>
      <c r="K156" s="243"/>
      <c r="L156" s="243"/>
      <c r="M156" s="566"/>
      <c r="N156" s="566"/>
    </row>
    <row r="157" spans="1:15" s="574" customFormat="1" ht="18" customHeight="1">
      <c r="A157" s="572"/>
      <c r="B157" s="573"/>
      <c r="C157" s="563" t="s">
        <v>77</v>
      </c>
      <c r="D157" s="123" t="s">
        <v>15</v>
      </c>
      <c r="E157" s="612">
        <f>4.3/100</f>
        <v>0.043</v>
      </c>
      <c r="F157" s="243">
        <f>E157*F151</f>
        <v>27.906999999999996</v>
      </c>
      <c r="G157" s="243"/>
      <c r="H157" s="241"/>
      <c r="I157" s="243"/>
      <c r="J157" s="566"/>
      <c r="K157" s="243"/>
      <c r="L157" s="243"/>
      <c r="M157" s="566"/>
      <c r="N157" s="566"/>
      <c r="O157" s="575"/>
    </row>
    <row r="158" spans="1:14" s="46" customFormat="1" ht="21" customHeight="1">
      <c r="A158" s="432"/>
      <c r="B158" s="127"/>
      <c r="C158" s="434" t="s">
        <v>728</v>
      </c>
      <c r="D158" s="433"/>
      <c r="E158" s="101"/>
      <c r="F158" s="42"/>
      <c r="G158" s="42"/>
      <c r="H158" s="83"/>
      <c r="I158" s="84"/>
      <c r="J158" s="83"/>
      <c r="K158" s="84"/>
      <c r="L158" s="83"/>
      <c r="M158" s="84"/>
      <c r="N158" s="84"/>
    </row>
    <row r="159" spans="1:14" s="471" customFormat="1" ht="21" customHeight="1">
      <c r="A159" s="174">
        <f>A151+1</f>
        <v>27</v>
      </c>
      <c r="B159" s="470" t="s">
        <v>10</v>
      </c>
      <c r="C159" s="154" t="s">
        <v>741</v>
      </c>
      <c r="D159" s="69" t="s">
        <v>73</v>
      </c>
      <c r="E159" s="102"/>
      <c r="F159" s="585">
        <f>301*0.6*0.05</f>
        <v>9.03</v>
      </c>
      <c r="G159" s="585"/>
      <c r="H159" s="84"/>
      <c r="I159" s="84"/>
      <c r="J159" s="83"/>
      <c r="K159" s="83"/>
      <c r="L159" s="83"/>
      <c r="M159" s="83"/>
      <c r="N159" s="84"/>
    </row>
    <row r="160" spans="1:14" s="471" customFormat="1" ht="18" customHeight="1">
      <c r="A160" s="5"/>
      <c r="B160" s="222"/>
      <c r="C160" s="63" t="s">
        <v>61</v>
      </c>
      <c r="D160" s="5" t="s">
        <v>74</v>
      </c>
      <c r="E160" s="87">
        <v>1</v>
      </c>
      <c r="F160" s="88">
        <f>E160*F159</f>
        <v>9.03</v>
      </c>
      <c r="G160" s="88"/>
      <c r="H160" s="84"/>
      <c r="I160" s="84"/>
      <c r="J160" s="83"/>
      <c r="K160" s="83"/>
      <c r="L160" s="83"/>
      <c r="M160" s="83"/>
      <c r="N160" s="84"/>
    </row>
    <row r="161" spans="1:14" s="471" customFormat="1" ht="18" customHeight="1">
      <c r="A161" s="179"/>
      <c r="B161" s="472" t="s">
        <v>645</v>
      </c>
      <c r="C161" s="155" t="s">
        <v>137</v>
      </c>
      <c r="D161" s="5" t="s">
        <v>74</v>
      </c>
      <c r="E161" s="103">
        <v>1.15</v>
      </c>
      <c r="F161" s="586">
        <f>E161*F159</f>
        <v>10.3845</v>
      </c>
      <c r="G161" s="651"/>
      <c r="H161" s="84"/>
      <c r="I161" s="84"/>
      <c r="J161" s="83"/>
      <c r="K161" s="83"/>
      <c r="L161" s="83"/>
      <c r="M161" s="83"/>
      <c r="N161" s="84"/>
    </row>
    <row r="162" spans="1:14" s="471" customFormat="1" ht="18" customHeight="1">
      <c r="A162" s="179"/>
      <c r="B162" s="472"/>
      <c r="C162" s="63" t="s">
        <v>77</v>
      </c>
      <c r="D162" s="5" t="s">
        <v>15</v>
      </c>
      <c r="E162" s="103">
        <v>0.02</v>
      </c>
      <c r="F162" s="586">
        <f>E162*F159</f>
        <v>0.18059999999999998</v>
      </c>
      <c r="G162" s="586"/>
      <c r="H162" s="83"/>
      <c r="I162" s="84"/>
      <c r="J162" s="83"/>
      <c r="K162" s="83"/>
      <c r="L162" s="83"/>
      <c r="M162" s="83"/>
      <c r="N162" s="84"/>
    </row>
    <row r="163" spans="1:14" s="236" customFormat="1" ht="36" customHeight="1">
      <c r="A163" s="5">
        <f>A159+1</f>
        <v>28</v>
      </c>
      <c r="B163" s="223" t="s">
        <v>23</v>
      </c>
      <c r="C163" s="68" t="s">
        <v>742</v>
      </c>
      <c r="D163" s="69" t="s">
        <v>73</v>
      </c>
      <c r="E163" s="69"/>
      <c r="F163" s="221">
        <f>65.4</f>
        <v>65.4</v>
      </c>
      <c r="G163" s="221"/>
      <c r="H163" s="83"/>
      <c r="I163" s="84"/>
      <c r="J163" s="83"/>
      <c r="K163" s="84"/>
      <c r="L163" s="83"/>
      <c r="M163" s="84"/>
      <c r="N163" s="84"/>
    </row>
    <row r="164" spans="1:14" s="236" customFormat="1" ht="18" customHeight="1">
      <c r="A164" s="182"/>
      <c r="B164" s="235"/>
      <c r="C164" s="63" t="s">
        <v>61</v>
      </c>
      <c r="D164" s="5" t="s">
        <v>74</v>
      </c>
      <c r="E164" s="87">
        <v>1</v>
      </c>
      <c r="F164" s="88">
        <f>E164*F163</f>
        <v>65.4</v>
      </c>
      <c r="G164" s="88"/>
      <c r="H164" s="83"/>
      <c r="I164" s="84"/>
      <c r="J164" s="83"/>
      <c r="K164" s="84"/>
      <c r="L164" s="83"/>
      <c r="M164" s="84"/>
      <c r="N164" s="84"/>
    </row>
    <row r="165" spans="1:14" s="236" customFormat="1" ht="18" customHeight="1">
      <c r="A165" s="182"/>
      <c r="B165" s="222" t="s">
        <v>179</v>
      </c>
      <c r="C165" s="63" t="s">
        <v>84</v>
      </c>
      <c r="D165" s="5" t="s">
        <v>74</v>
      </c>
      <c r="E165" s="87">
        <f>101.5/100</f>
        <v>1.015</v>
      </c>
      <c r="F165" s="88">
        <f>E165*F163</f>
        <v>66.381</v>
      </c>
      <c r="G165" s="88"/>
      <c r="H165" s="83"/>
      <c r="I165" s="84"/>
      <c r="J165" s="83"/>
      <c r="K165" s="84"/>
      <c r="L165" s="83"/>
      <c r="M165" s="84"/>
      <c r="N165" s="84"/>
    </row>
    <row r="166" spans="1:14" s="130" customFormat="1" ht="17.25" customHeight="1">
      <c r="A166" s="109"/>
      <c r="B166" s="127"/>
      <c r="C166" s="128" t="s">
        <v>183</v>
      </c>
      <c r="D166" s="5" t="s">
        <v>81</v>
      </c>
      <c r="E166" s="87">
        <v>1.03</v>
      </c>
      <c r="F166" s="238">
        <f>(920)*E166/1000</f>
        <v>0.9476</v>
      </c>
      <c r="G166" s="238"/>
      <c r="H166" s="83"/>
      <c r="I166" s="84"/>
      <c r="J166" s="83"/>
      <c r="K166" s="84"/>
      <c r="L166" s="83"/>
      <c r="M166" s="84"/>
      <c r="N166" s="84"/>
    </row>
    <row r="167" spans="1:14" s="236" customFormat="1" ht="18" customHeight="1">
      <c r="A167" s="182"/>
      <c r="B167" s="234" t="s">
        <v>180</v>
      </c>
      <c r="C167" s="128" t="s">
        <v>79</v>
      </c>
      <c r="D167" s="5" t="s">
        <v>86</v>
      </c>
      <c r="E167" s="87">
        <f>137*0.01</f>
        <v>1.37</v>
      </c>
      <c r="F167" s="106">
        <f>F163*E167</f>
        <v>89.59800000000001</v>
      </c>
      <c r="G167" s="106"/>
      <c r="H167" s="83"/>
      <c r="I167" s="84"/>
      <c r="J167" s="83"/>
      <c r="K167" s="84"/>
      <c r="L167" s="83"/>
      <c r="M167" s="84"/>
      <c r="N167" s="84"/>
    </row>
    <row r="168" spans="1:14" s="236" customFormat="1" ht="18" customHeight="1">
      <c r="A168" s="182"/>
      <c r="B168" s="230" t="s">
        <v>181</v>
      </c>
      <c r="C168" s="63" t="s">
        <v>80</v>
      </c>
      <c r="D168" s="5" t="s">
        <v>74</v>
      </c>
      <c r="E168" s="87">
        <f>(0.84+2.56+0.26)*0.01</f>
        <v>0.0366</v>
      </c>
      <c r="F168" s="106">
        <f>F163*E168</f>
        <v>2.3936400000000004</v>
      </c>
      <c r="G168" s="106"/>
      <c r="H168" s="83"/>
      <c r="I168" s="84"/>
      <c r="J168" s="83"/>
      <c r="K168" s="84"/>
      <c r="L168" s="83"/>
      <c r="M168" s="84"/>
      <c r="N168" s="84"/>
    </row>
    <row r="169" spans="1:14" s="135" customFormat="1" ht="18" customHeight="1">
      <c r="A169" s="96"/>
      <c r="B169" s="96"/>
      <c r="C169" s="133" t="s">
        <v>78</v>
      </c>
      <c r="D169" s="4" t="s">
        <v>138</v>
      </c>
      <c r="E169" s="87">
        <v>7</v>
      </c>
      <c r="F169" s="83">
        <f>SUM(F166:F166)*E169</f>
        <v>6.6332</v>
      </c>
      <c r="G169" s="83"/>
      <c r="H169" s="134"/>
      <c r="I169" s="134"/>
      <c r="J169" s="134"/>
      <c r="K169" s="134"/>
      <c r="L169" s="134"/>
      <c r="M169" s="134"/>
      <c r="N169" s="134"/>
    </row>
    <row r="170" spans="1:14" s="232" customFormat="1" ht="17.25" customHeight="1">
      <c r="A170" s="4"/>
      <c r="B170" s="222"/>
      <c r="C170" s="63" t="s">
        <v>77</v>
      </c>
      <c r="D170" s="5" t="s">
        <v>15</v>
      </c>
      <c r="E170" s="87">
        <f>39*0.01</f>
        <v>0.39</v>
      </c>
      <c r="F170" s="88">
        <f>F163*E170</f>
        <v>25.506000000000004</v>
      </c>
      <c r="G170" s="88"/>
      <c r="H170" s="83"/>
      <c r="I170" s="84"/>
      <c r="J170" s="83"/>
      <c r="K170" s="84"/>
      <c r="L170" s="83"/>
      <c r="M170" s="84"/>
      <c r="N170" s="84"/>
    </row>
    <row r="171" spans="1:14" s="229" customFormat="1" ht="39.75" customHeight="1">
      <c r="A171" s="5">
        <f>A163+1</f>
        <v>29</v>
      </c>
      <c r="B171" s="223" t="s">
        <v>736</v>
      </c>
      <c r="C171" s="68" t="s">
        <v>744</v>
      </c>
      <c r="D171" s="69" t="s">
        <v>92</v>
      </c>
      <c r="E171" s="100"/>
      <c r="F171" s="591">
        <v>2</v>
      </c>
      <c r="G171" s="654"/>
      <c r="H171" s="84"/>
      <c r="I171" s="84"/>
      <c r="J171" s="83"/>
      <c r="K171" s="83"/>
      <c r="L171" s="83"/>
      <c r="M171" s="83"/>
      <c r="N171" s="84"/>
    </row>
    <row r="172" spans="1:14" s="232" customFormat="1" ht="18" customHeight="1">
      <c r="A172" s="110"/>
      <c r="B172" s="230"/>
      <c r="C172" s="63" t="s">
        <v>61</v>
      </c>
      <c r="D172" s="5" t="str">
        <f>D171</f>
        <v>ცალი</v>
      </c>
      <c r="E172" s="100">
        <v>1</v>
      </c>
      <c r="F172" s="592">
        <f>F171*E172</f>
        <v>2</v>
      </c>
      <c r="G172" s="655"/>
      <c r="H172" s="84"/>
      <c r="I172" s="84"/>
      <c r="J172" s="83"/>
      <c r="K172" s="83"/>
      <c r="L172" s="83"/>
      <c r="M172" s="83"/>
      <c r="N172" s="84"/>
    </row>
    <row r="173" spans="1:14" s="229" customFormat="1" ht="18" customHeight="1">
      <c r="A173" s="4"/>
      <c r="B173" s="222" t="s">
        <v>737</v>
      </c>
      <c r="C173" s="63" t="s">
        <v>743</v>
      </c>
      <c r="D173" s="5" t="str">
        <f>D171</f>
        <v>ცალი</v>
      </c>
      <c r="E173" s="100">
        <f>200*0.01</f>
        <v>2</v>
      </c>
      <c r="F173" s="592">
        <f>E173*F171</f>
        <v>4</v>
      </c>
      <c r="G173" s="655"/>
      <c r="H173" s="84"/>
      <c r="I173" s="84"/>
      <c r="J173" s="83"/>
      <c r="K173" s="83"/>
      <c r="L173" s="83"/>
      <c r="M173" s="83"/>
      <c r="N173" s="84"/>
    </row>
    <row r="174" spans="1:14" s="232" customFormat="1" ht="18" customHeight="1">
      <c r="A174" s="110"/>
      <c r="B174" s="230" t="s">
        <v>738</v>
      </c>
      <c r="C174" s="128" t="s">
        <v>747</v>
      </c>
      <c r="D174" s="5" t="s">
        <v>86</v>
      </c>
      <c r="E174" s="100"/>
      <c r="F174" s="592">
        <f>3.44*2.2</f>
        <v>7.5680000000000005</v>
      </c>
      <c r="G174" s="655"/>
      <c r="H174" s="84"/>
      <c r="I174" s="84"/>
      <c r="J174" s="83"/>
      <c r="K174" s="83"/>
      <c r="L174" s="83"/>
      <c r="M174" s="83"/>
      <c r="N174" s="84"/>
    </row>
    <row r="175" spans="1:14" s="232" customFormat="1" ht="18" customHeight="1">
      <c r="A175" s="4"/>
      <c r="B175" s="222" t="s">
        <v>646</v>
      </c>
      <c r="C175" s="128" t="s">
        <v>83</v>
      </c>
      <c r="D175" s="5" t="s">
        <v>74</v>
      </c>
      <c r="E175" s="107">
        <f>29.7*0.01</f>
        <v>0.297</v>
      </c>
      <c r="F175" s="592">
        <f>E175*F171</f>
        <v>0.594</v>
      </c>
      <c r="G175" s="592"/>
      <c r="H175" s="83"/>
      <c r="I175" s="84"/>
      <c r="J175" s="83"/>
      <c r="K175" s="83"/>
      <c r="L175" s="83"/>
      <c r="M175" s="83"/>
      <c r="N175" s="84"/>
    </row>
    <row r="176" spans="1:14" s="236" customFormat="1" ht="18" customHeight="1">
      <c r="A176" s="182"/>
      <c r="B176" s="230" t="s">
        <v>739</v>
      </c>
      <c r="C176" s="128" t="s">
        <v>88</v>
      </c>
      <c r="D176" s="4" t="s">
        <v>138</v>
      </c>
      <c r="E176" s="100">
        <v>2</v>
      </c>
      <c r="F176" s="592">
        <f>F171*E176</f>
        <v>4</v>
      </c>
      <c r="G176" s="655"/>
      <c r="H176" s="84"/>
      <c r="I176" s="84"/>
      <c r="J176" s="83"/>
      <c r="K176" s="83"/>
      <c r="L176" s="83"/>
      <c r="M176" s="83"/>
      <c r="N176" s="84"/>
    </row>
    <row r="177" spans="1:14" s="232" customFormat="1" ht="18" customHeight="1">
      <c r="A177" s="4"/>
      <c r="B177" s="222"/>
      <c r="C177" s="63" t="s">
        <v>77</v>
      </c>
      <c r="D177" s="5" t="s">
        <v>15</v>
      </c>
      <c r="E177" s="100">
        <f>20*0.01</f>
        <v>0.2</v>
      </c>
      <c r="F177" s="592">
        <f>F171*E177</f>
        <v>0.4</v>
      </c>
      <c r="G177" s="592"/>
      <c r="H177" s="83"/>
      <c r="I177" s="84"/>
      <c r="J177" s="83"/>
      <c r="K177" s="83"/>
      <c r="L177" s="83"/>
      <c r="M177" s="83"/>
      <c r="N177" s="84"/>
    </row>
    <row r="178" spans="1:14" s="229" customFormat="1" ht="24" customHeight="1">
      <c r="A178" s="5">
        <f>A171+1</f>
        <v>30</v>
      </c>
      <c r="B178" s="223" t="s">
        <v>736</v>
      </c>
      <c r="C178" s="68" t="s">
        <v>482</v>
      </c>
      <c r="D178" s="69" t="s">
        <v>92</v>
      </c>
      <c r="E178" s="100"/>
      <c r="F178" s="591">
        <v>2</v>
      </c>
      <c r="G178" s="654"/>
      <c r="H178" s="84"/>
      <c r="I178" s="84"/>
      <c r="J178" s="83"/>
      <c r="K178" s="83"/>
      <c r="L178" s="83"/>
      <c r="M178" s="83"/>
      <c r="N178" s="84"/>
    </row>
    <row r="179" spans="1:14" s="232" customFormat="1" ht="18" customHeight="1">
      <c r="A179" s="110"/>
      <c r="B179" s="230"/>
      <c r="C179" s="63" t="s">
        <v>61</v>
      </c>
      <c r="D179" s="5" t="str">
        <f>D178</f>
        <v>ცალი</v>
      </c>
      <c r="E179" s="100">
        <v>1</v>
      </c>
      <c r="F179" s="88">
        <f>E179*F178</f>
        <v>2</v>
      </c>
      <c r="G179" s="88"/>
      <c r="H179" s="83"/>
      <c r="I179" s="84"/>
      <c r="J179" s="83"/>
      <c r="K179" s="83"/>
      <c r="L179" s="83"/>
      <c r="M179" s="83"/>
      <c r="N179" s="84"/>
    </row>
    <row r="180" spans="1:14" s="229" customFormat="1" ht="18" customHeight="1">
      <c r="A180" s="4"/>
      <c r="B180" s="222" t="s">
        <v>737</v>
      </c>
      <c r="C180" s="63" t="s">
        <v>743</v>
      </c>
      <c r="D180" s="5" t="str">
        <f>D178</f>
        <v>ცალი</v>
      </c>
      <c r="E180" s="100">
        <f>100*0.01</f>
        <v>1</v>
      </c>
      <c r="F180" s="592">
        <f>E180*F178</f>
        <v>2</v>
      </c>
      <c r="G180" s="655"/>
      <c r="H180" s="84"/>
      <c r="I180" s="84"/>
      <c r="J180" s="83"/>
      <c r="K180" s="83"/>
      <c r="L180" s="83"/>
      <c r="M180" s="83"/>
      <c r="N180" s="84"/>
    </row>
    <row r="181" spans="1:14" s="232" customFormat="1" ht="18" customHeight="1">
      <c r="A181" s="110"/>
      <c r="B181" s="230" t="s">
        <v>738</v>
      </c>
      <c r="C181" s="128" t="s">
        <v>147</v>
      </c>
      <c r="D181" s="5" t="s">
        <v>86</v>
      </c>
      <c r="E181" s="100"/>
      <c r="F181" s="592">
        <f>1.3*2.2</f>
        <v>2.8600000000000003</v>
      </c>
      <c r="G181" s="655"/>
      <c r="H181" s="84"/>
      <c r="I181" s="84"/>
      <c r="J181" s="83"/>
      <c r="K181" s="83"/>
      <c r="L181" s="83"/>
      <c r="M181" s="83"/>
      <c r="N181" s="84"/>
    </row>
    <row r="182" spans="1:14" s="232" customFormat="1" ht="18" customHeight="1">
      <c r="A182" s="4"/>
      <c r="B182" s="222" t="s">
        <v>646</v>
      </c>
      <c r="C182" s="128" t="s">
        <v>83</v>
      </c>
      <c r="D182" s="5" t="s">
        <v>74</v>
      </c>
      <c r="E182" s="100">
        <f>5.1*0.01</f>
        <v>0.051</v>
      </c>
      <c r="F182" s="592">
        <f>E182*F178</f>
        <v>0.102</v>
      </c>
      <c r="G182" s="592"/>
      <c r="H182" s="83"/>
      <c r="I182" s="84"/>
      <c r="J182" s="83"/>
      <c r="K182" s="83"/>
      <c r="L182" s="83"/>
      <c r="M182" s="83"/>
      <c r="N182" s="84"/>
    </row>
    <row r="183" spans="1:14" s="236" customFormat="1" ht="18" customHeight="1">
      <c r="A183" s="182"/>
      <c r="B183" s="230" t="s">
        <v>739</v>
      </c>
      <c r="C183" s="128" t="s">
        <v>88</v>
      </c>
      <c r="D183" s="4" t="s">
        <v>138</v>
      </c>
      <c r="E183" s="100">
        <v>2</v>
      </c>
      <c r="F183" s="592">
        <f>F178*E183</f>
        <v>4</v>
      </c>
      <c r="G183" s="655"/>
      <c r="H183" s="84"/>
      <c r="I183" s="84"/>
      <c r="J183" s="83"/>
      <c r="K183" s="83"/>
      <c r="L183" s="83"/>
      <c r="M183" s="83"/>
      <c r="N183" s="84"/>
    </row>
    <row r="184" spans="1:14" s="232" customFormat="1" ht="18" customHeight="1">
      <c r="A184" s="4"/>
      <c r="B184" s="222"/>
      <c r="C184" s="63" t="s">
        <v>77</v>
      </c>
      <c r="D184" s="5" t="s">
        <v>15</v>
      </c>
      <c r="E184" s="100">
        <f>2*0.01</f>
        <v>0.02</v>
      </c>
      <c r="F184" s="592">
        <f>F178*E184</f>
        <v>0.04</v>
      </c>
      <c r="G184" s="592"/>
      <c r="H184" s="83"/>
      <c r="I184" s="84"/>
      <c r="J184" s="83"/>
      <c r="K184" s="83"/>
      <c r="L184" s="83"/>
      <c r="M184" s="83"/>
      <c r="N184" s="84"/>
    </row>
    <row r="185" spans="1:14" s="232" customFormat="1" ht="39" customHeight="1">
      <c r="A185" s="5">
        <f>A178+1</f>
        <v>31</v>
      </c>
      <c r="B185" s="222" t="s">
        <v>740</v>
      </c>
      <c r="C185" s="68" t="s">
        <v>745</v>
      </c>
      <c r="D185" s="69" t="s">
        <v>355</v>
      </c>
      <c r="E185" s="100"/>
      <c r="F185" s="148">
        <v>270</v>
      </c>
      <c r="G185" s="147"/>
      <c r="H185" s="84"/>
      <c r="I185" s="84"/>
      <c r="J185" s="83"/>
      <c r="K185" s="83"/>
      <c r="L185" s="83"/>
      <c r="M185" s="83"/>
      <c r="N185" s="84"/>
    </row>
    <row r="186" spans="1:14" s="236" customFormat="1" ht="18" customHeight="1">
      <c r="A186" s="4"/>
      <c r="B186" s="222"/>
      <c r="C186" s="63" t="s">
        <v>61</v>
      </c>
      <c r="D186" s="5" t="str">
        <f>D185</f>
        <v>გრძ.მ</v>
      </c>
      <c r="E186" s="100">
        <v>1</v>
      </c>
      <c r="F186" s="106">
        <f>F185*E186</f>
        <v>270</v>
      </c>
      <c r="G186" s="88"/>
      <c r="H186" s="84"/>
      <c r="I186" s="84"/>
      <c r="J186" s="83"/>
      <c r="K186" s="83"/>
      <c r="L186" s="83"/>
      <c r="M186" s="83"/>
      <c r="N186" s="84"/>
    </row>
    <row r="187" spans="1:14" s="232" customFormat="1" ht="39" customHeight="1">
      <c r="A187" s="4"/>
      <c r="B187" s="222"/>
      <c r="C187" s="63" t="s">
        <v>746</v>
      </c>
      <c r="D187" s="5" t="str">
        <f>D185</f>
        <v>გრძ.მ</v>
      </c>
      <c r="E187" s="100">
        <v>1</v>
      </c>
      <c r="F187" s="106">
        <f>F185*E187</f>
        <v>270</v>
      </c>
      <c r="G187" s="88"/>
      <c r="H187" s="84"/>
      <c r="I187" s="84"/>
      <c r="J187" s="83"/>
      <c r="K187" s="83"/>
      <c r="L187" s="83"/>
      <c r="M187" s="83"/>
      <c r="N187" s="84"/>
    </row>
    <row r="188" spans="1:14" s="232" customFormat="1" ht="18" customHeight="1">
      <c r="A188" s="4"/>
      <c r="B188" s="222"/>
      <c r="C188" s="63" t="s">
        <v>77</v>
      </c>
      <c r="D188" s="5" t="s">
        <v>15</v>
      </c>
      <c r="E188" s="100">
        <f>4/100</f>
        <v>0.04</v>
      </c>
      <c r="F188" s="88">
        <f>F185*E188</f>
        <v>10.8</v>
      </c>
      <c r="G188" s="88"/>
      <c r="H188" s="83"/>
      <c r="I188" s="84"/>
      <c r="J188" s="83"/>
      <c r="K188" s="83"/>
      <c r="L188" s="83"/>
      <c r="M188" s="83"/>
      <c r="N188" s="84"/>
    </row>
    <row r="189" spans="1:14" s="229" customFormat="1" ht="69" customHeight="1">
      <c r="A189" s="5">
        <f>A185+1</f>
        <v>32</v>
      </c>
      <c r="B189" s="223" t="s">
        <v>208</v>
      </c>
      <c r="C189" s="68" t="s">
        <v>655</v>
      </c>
      <c r="D189" s="69" t="s">
        <v>87</v>
      </c>
      <c r="E189" s="100"/>
      <c r="F189" s="221">
        <f>(F174+F181)*2</f>
        <v>20.856</v>
      </c>
      <c r="G189" s="587"/>
      <c r="H189" s="88"/>
      <c r="I189" s="106"/>
      <c r="J189" s="88"/>
      <c r="K189" s="106"/>
      <c r="L189" s="106"/>
      <c r="M189" s="88"/>
      <c r="N189" s="88"/>
    </row>
    <row r="190" spans="1:14" s="232" customFormat="1" ht="18" customHeight="1">
      <c r="A190" s="5"/>
      <c r="B190" s="230"/>
      <c r="C190" s="63" t="s">
        <v>61</v>
      </c>
      <c r="D190" s="5" t="s">
        <v>86</v>
      </c>
      <c r="E190" s="100">
        <v>1</v>
      </c>
      <c r="F190" s="194">
        <f>F189*E190</f>
        <v>20.856</v>
      </c>
      <c r="G190" s="43"/>
      <c r="H190" s="88"/>
      <c r="I190" s="106"/>
      <c r="J190" s="88"/>
      <c r="K190" s="106"/>
      <c r="L190" s="106"/>
      <c r="M190" s="88"/>
      <c r="N190" s="88"/>
    </row>
    <row r="191" spans="1:14" s="249" customFormat="1" ht="18" customHeight="1">
      <c r="A191" s="5"/>
      <c r="B191" s="222"/>
      <c r="C191" s="144" t="s">
        <v>142</v>
      </c>
      <c r="D191" s="4" t="s">
        <v>138</v>
      </c>
      <c r="E191" s="107">
        <f>(24.4+0.2)*0.01</f>
        <v>0.246</v>
      </c>
      <c r="F191" s="106">
        <f>E191*F189</f>
        <v>5.1305760000000005</v>
      </c>
      <c r="G191" s="88"/>
      <c r="H191" s="88"/>
      <c r="I191" s="106"/>
      <c r="J191" s="88"/>
      <c r="K191" s="106"/>
      <c r="L191" s="106"/>
      <c r="M191" s="88"/>
      <c r="N191" s="88"/>
    </row>
    <row r="192" spans="1:14" s="249" customFormat="1" ht="18" customHeight="1">
      <c r="A192" s="5"/>
      <c r="B192" s="222"/>
      <c r="C192" s="144" t="s">
        <v>143</v>
      </c>
      <c r="D192" s="4" t="s">
        <v>138</v>
      </c>
      <c r="E192" s="100">
        <v>0.027</v>
      </c>
      <c r="F192" s="106">
        <f>E192*F189</f>
        <v>0.5631120000000001</v>
      </c>
      <c r="G192" s="88"/>
      <c r="H192" s="88"/>
      <c r="I192" s="106"/>
      <c r="J192" s="88"/>
      <c r="K192" s="106"/>
      <c r="L192" s="106"/>
      <c r="M192" s="88"/>
      <c r="N192" s="88"/>
    </row>
    <row r="193" spans="1:14" s="232" customFormat="1" ht="18" customHeight="1">
      <c r="A193" s="5"/>
      <c r="B193" s="222"/>
      <c r="C193" s="63" t="s">
        <v>77</v>
      </c>
      <c r="D193" s="5" t="s">
        <v>15</v>
      </c>
      <c r="E193" s="100">
        <v>0.0019</v>
      </c>
      <c r="F193" s="88">
        <f>F189*E193</f>
        <v>0.039626400000000006</v>
      </c>
      <c r="G193" s="88"/>
      <c r="H193" s="83"/>
      <c r="I193" s="106"/>
      <c r="J193" s="88"/>
      <c r="K193" s="106"/>
      <c r="L193" s="106"/>
      <c r="M193" s="88"/>
      <c r="N193" s="88"/>
    </row>
    <row r="194" spans="1:14" s="46" customFormat="1" ht="21" customHeight="1">
      <c r="A194" s="432"/>
      <c r="B194" s="127"/>
      <c r="C194" s="434" t="s">
        <v>813</v>
      </c>
      <c r="D194" s="433"/>
      <c r="E194" s="101"/>
      <c r="F194" s="42"/>
      <c r="G194" s="42"/>
      <c r="H194" s="83"/>
      <c r="I194" s="84"/>
      <c r="J194" s="83"/>
      <c r="K194" s="84"/>
      <c r="L194" s="83"/>
      <c r="M194" s="84"/>
      <c r="N194" s="84"/>
    </row>
    <row r="195" spans="1:14" s="289" customFormat="1" ht="36" customHeight="1">
      <c r="A195" s="285">
        <f>A189+1</f>
        <v>33</v>
      </c>
      <c r="B195" s="600" t="s">
        <v>814</v>
      </c>
      <c r="C195" s="601" t="s">
        <v>817</v>
      </c>
      <c r="D195" s="69" t="s">
        <v>73</v>
      </c>
      <c r="E195" s="605"/>
      <c r="F195" s="606">
        <f>F198*0.1</f>
        <v>81.76</v>
      </c>
      <c r="G195" s="656"/>
      <c r="H195" s="88"/>
      <c r="I195" s="106"/>
      <c r="J195" s="88"/>
      <c r="K195" s="106"/>
      <c r="L195" s="106"/>
      <c r="M195" s="88"/>
      <c r="N195" s="88"/>
    </row>
    <row r="196" spans="1:14" s="292" customFormat="1" ht="18" customHeight="1">
      <c r="A196" s="297"/>
      <c r="B196" s="297"/>
      <c r="C196" s="63" t="s">
        <v>61</v>
      </c>
      <c r="D196" s="5" t="s">
        <v>74</v>
      </c>
      <c r="E196" s="100">
        <v>1</v>
      </c>
      <c r="F196" s="194">
        <f>F195*E196</f>
        <v>81.76</v>
      </c>
      <c r="G196" s="43"/>
      <c r="H196" s="88"/>
      <c r="I196" s="106"/>
      <c r="J196" s="88"/>
      <c r="K196" s="106"/>
      <c r="L196" s="106"/>
      <c r="M196" s="88"/>
      <c r="N196" s="88"/>
    </row>
    <row r="197" spans="1:14" s="603" customFormat="1" ht="18" customHeight="1">
      <c r="A197" s="285"/>
      <c r="B197" s="285" t="s">
        <v>196</v>
      </c>
      <c r="C197" s="602" t="s">
        <v>818</v>
      </c>
      <c r="D197" s="5" t="s">
        <v>74</v>
      </c>
      <c r="E197" s="100">
        <v>1.05</v>
      </c>
      <c r="F197" s="194">
        <f>E197*F195</f>
        <v>85.84800000000001</v>
      </c>
      <c r="G197" s="43"/>
      <c r="H197" s="88"/>
      <c r="I197" s="106"/>
      <c r="J197" s="88"/>
      <c r="K197" s="106"/>
      <c r="L197" s="106"/>
      <c r="M197" s="88"/>
      <c r="N197" s="88"/>
    </row>
    <row r="198" spans="1:14" s="289" customFormat="1" ht="36" customHeight="1">
      <c r="A198" s="285">
        <f>A195+1</f>
        <v>34</v>
      </c>
      <c r="B198" s="600" t="s">
        <v>814</v>
      </c>
      <c r="C198" s="601" t="s">
        <v>815</v>
      </c>
      <c r="D198" s="69" t="s">
        <v>87</v>
      </c>
      <c r="E198" s="605"/>
      <c r="F198" s="606">
        <v>817.6</v>
      </c>
      <c r="G198" s="656"/>
      <c r="H198" s="88"/>
      <c r="I198" s="106"/>
      <c r="J198" s="88"/>
      <c r="K198" s="106"/>
      <c r="L198" s="106"/>
      <c r="M198" s="88"/>
      <c r="N198" s="88"/>
    </row>
    <row r="199" spans="1:14" s="232" customFormat="1" ht="18" customHeight="1">
      <c r="A199" s="5"/>
      <c r="B199" s="230"/>
      <c r="C199" s="63" t="s">
        <v>61</v>
      </c>
      <c r="D199" s="5" t="s">
        <v>86</v>
      </c>
      <c r="E199" s="100">
        <v>1</v>
      </c>
      <c r="F199" s="194">
        <f>F198*E199</f>
        <v>817.6</v>
      </c>
      <c r="G199" s="43"/>
      <c r="H199" s="88"/>
      <c r="I199" s="106"/>
      <c r="J199" s="88"/>
      <c r="K199" s="106"/>
      <c r="L199" s="106"/>
      <c r="M199" s="88"/>
      <c r="N199" s="88"/>
    </row>
    <row r="200" spans="1:14" s="232" customFormat="1" ht="18" customHeight="1">
      <c r="A200" s="5"/>
      <c r="B200" s="230" t="s">
        <v>196</v>
      </c>
      <c r="C200" s="63" t="s">
        <v>816</v>
      </c>
      <c r="D200" s="5" t="s">
        <v>86</v>
      </c>
      <c r="E200" s="100">
        <v>1</v>
      </c>
      <c r="F200" s="194">
        <f>E200*F198</f>
        <v>817.6</v>
      </c>
      <c r="G200" s="43"/>
      <c r="H200" s="88"/>
      <c r="I200" s="106"/>
      <c r="J200" s="88"/>
      <c r="K200" s="106"/>
      <c r="L200" s="106"/>
      <c r="M200" s="88"/>
      <c r="N200" s="88"/>
    </row>
    <row r="201" spans="1:15" ht="9" customHeight="1" thickBot="1">
      <c r="A201" s="4"/>
      <c r="B201" s="145"/>
      <c r="C201" s="159"/>
      <c r="D201" s="4"/>
      <c r="E201" s="4"/>
      <c r="F201" s="88"/>
      <c r="G201" s="88"/>
      <c r="H201" s="88"/>
      <c r="I201" s="88"/>
      <c r="J201" s="88"/>
      <c r="K201" s="88"/>
      <c r="L201" s="88"/>
      <c r="M201" s="88"/>
      <c r="N201" s="106"/>
      <c r="O201" s="67"/>
    </row>
    <row r="202" spans="1:16" s="202" customFormat="1" ht="18" customHeight="1">
      <c r="A202" s="197"/>
      <c r="B202" s="198"/>
      <c r="C202" s="160" t="s">
        <v>748</v>
      </c>
      <c r="D202" s="114"/>
      <c r="E202" s="114"/>
      <c r="F202" s="165"/>
      <c r="G202" s="165"/>
      <c r="H202" s="165"/>
      <c r="I202" s="166">
        <f>SUM(I10:I201)</f>
        <v>0</v>
      </c>
      <c r="J202" s="166"/>
      <c r="K202" s="166">
        <f>SUM(K10:K201)</f>
        <v>0</v>
      </c>
      <c r="L202" s="166"/>
      <c r="M202" s="166">
        <f>SUM(M10:M201)</f>
        <v>0</v>
      </c>
      <c r="N202" s="166">
        <f>SUM(N10:N201)</f>
        <v>0</v>
      </c>
      <c r="O202" s="200"/>
      <c r="P202" s="201"/>
    </row>
    <row r="203" spans="1:16" s="67" customFormat="1" ht="36" customHeight="1">
      <c r="A203" s="203"/>
      <c r="B203" s="123"/>
      <c r="C203" s="63" t="s">
        <v>133</v>
      </c>
      <c r="D203" s="72">
        <v>0.03</v>
      </c>
      <c r="E203" s="5"/>
      <c r="F203" s="204"/>
      <c r="G203" s="204"/>
      <c r="H203" s="63"/>
      <c r="I203" s="64"/>
      <c r="J203" s="64"/>
      <c r="K203" s="64"/>
      <c r="L203" s="64"/>
      <c r="M203" s="64"/>
      <c r="N203" s="65">
        <f>I202*D203</f>
        <v>0</v>
      </c>
      <c r="O203" s="219"/>
      <c r="P203" s="219"/>
    </row>
    <row r="204" spans="1:16" s="61" customFormat="1" ht="18" customHeight="1">
      <c r="A204" s="203"/>
      <c r="B204" s="123"/>
      <c r="C204" s="63" t="s">
        <v>68</v>
      </c>
      <c r="D204" s="69"/>
      <c r="E204" s="5"/>
      <c r="F204" s="68"/>
      <c r="G204" s="68"/>
      <c r="H204" s="68"/>
      <c r="I204" s="70"/>
      <c r="J204" s="70"/>
      <c r="K204" s="70"/>
      <c r="L204" s="70"/>
      <c r="M204" s="70"/>
      <c r="N204" s="65">
        <f>SUM(N202:N203)</f>
        <v>0</v>
      </c>
      <c r="O204" s="220"/>
      <c r="P204" s="220"/>
    </row>
    <row r="205" spans="1:16" s="67" customFormat="1" ht="18" customHeight="1">
      <c r="A205" s="203"/>
      <c r="B205" s="123"/>
      <c r="C205" s="63" t="s">
        <v>123</v>
      </c>
      <c r="D205" s="72">
        <v>0.1</v>
      </c>
      <c r="E205" s="5"/>
      <c r="F205" s="204"/>
      <c r="G205" s="204"/>
      <c r="H205" s="63"/>
      <c r="I205" s="64"/>
      <c r="J205" s="64"/>
      <c r="K205" s="64"/>
      <c r="L205" s="64"/>
      <c r="M205" s="64"/>
      <c r="N205" s="65">
        <f>N204*D205</f>
        <v>0</v>
      </c>
      <c r="O205" s="219"/>
      <c r="P205" s="219"/>
    </row>
    <row r="206" spans="1:16" s="61" customFormat="1" ht="18" customHeight="1">
      <c r="A206" s="203"/>
      <c r="B206" s="123"/>
      <c r="C206" s="63" t="s">
        <v>68</v>
      </c>
      <c r="D206" s="69"/>
      <c r="E206" s="5"/>
      <c r="F206" s="68"/>
      <c r="G206" s="68"/>
      <c r="H206" s="68"/>
      <c r="I206" s="70"/>
      <c r="J206" s="70"/>
      <c r="K206" s="70"/>
      <c r="L206" s="70"/>
      <c r="M206" s="70"/>
      <c r="N206" s="65">
        <f>SUM(N204:N205)</f>
        <v>0</v>
      </c>
      <c r="O206" s="220"/>
      <c r="P206" s="220"/>
    </row>
    <row r="207" spans="1:14" s="67" customFormat="1" ht="18" customHeight="1">
      <c r="A207" s="203"/>
      <c r="B207" s="123"/>
      <c r="C207" s="63" t="s">
        <v>124</v>
      </c>
      <c r="D207" s="72">
        <v>0.08</v>
      </c>
      <c r="E207" s="5"/>
      <c r="F207" s="204"/>
      <c r="G207" s="204"/>
      <c r="H207" s="63"/>
      <c r="I207" s="64"/>
      <c r="J207" s="64"/>
      <c r="K207" s="64"/>
      <c r="L207" s="64"/>
      <c r="M207" s="64"/>
      <c r="N207" s="65">
        <f>N206*D207</f>
        <v>0</v>
      </c>
    </row>
    <row r="208" spans="1:14" s="210" customFormat="1" ht="21" customHeight="1" thickBot="1">
      <c r="A208" s="206"/>
      <c r="B208" s="207"/>
      <c r="C208" s="161" t="s">
        <v>141</v>
      </c>
      <c r="D208" s="115"/>
      <c r="E208" s="116"/>
      <c r="F208" s="208"/>
      <c r="G208" s="208"/>
      <c r="H208" s="161"/>
      <c r="I208" s="167"/>
      <c r="J208" s="167"/>
      <c r="K208" s="167"/>
      <c r="L208" s="167"/>
      <c r="M208" s="167"/>
      <c r="N208" s="168">
        <f>SUM(N206:N207)</f>
        <v>0</v>
      </c>
    </row>
    <row r="209" spans="1:14" ht="15">
      <c r="A209" s="24"/>
      <c r="B209" s="90"/>
      <c r="C209" s="162"/>
      <c r="D209" s="117"/>
      <c r="E209" s="24"/>
      <c r="F209" s="162"/>
      <c r="G209" s="162"/>
      <c r="H209" s="162"/>
      <c r="I209" s="162"/>
      <c r="J209" s="169"/>
      <c r="K209" s="162"/>
      <c r="L209" s="169"/>
      <c r="M209" s="162"/>
      <c r="N209" s="67"/>
    </row>
    <row r="210" spans="1:14" ht="15">
      <c r="A210" s="24"/>
      <c r="B210" s="90"/>
      <c r="C210" s="82"/>
      <c r="D210" s="117"/>
      <c r="E210" s="24"/>
      <c r="F210" s="162"/>
      <c r="G210" s="162"/>
      <c r="H210" s="162"/>
      <c r="I210" s="162"/>
      <c r="J210" s="169"/>
      <c r="K210" s="162"/>
      <c r="L210" s="169"/>
      <c r="M210" s="162"/>
      <c r="N210" s="67"/>
    </row>
    <row r="211" spans="1:14" ht="15">
      <c r="A211" s="24"/>
      <c r="B211" s="90"/>
      <c r="C211" s="82"/>
      <c r="D211" s="117"/>
      <c r="E211" s="24"/>
      <c r="F211" s="162"/>
      <c r="G211" s="162"/>
      <c r="H211" s="162"/>
      <c r="I211" s="162"/>
      <c r="J211" s="169"/>
      <c r="K211" s="162"/>
      <c r="L211" s="169"/>
      <c r="M211" s="162"/>
      <c r="N211" s="67"/>
    </row>
    <row r="212" spans="1:14" ht="15">
      <c r="A212" s="24"/>
      <c r="B212" s="90"/>
      <c r="C212" s="15"/>
      <c r="D212" s="117"/>
      <c r="E212" s="24"/>
      <c r="F212" s="162"/>
      <c r="G212" s="162"/>
      <c r="H212" s="162"/>
      <c r="I212" s="162"/>
      <c r="J212" s="169"/>
      <c r="K212" s="170"/>
      <c r="L212" s="169"/>
      <c r="M212" s="162"/>
      <c r="N212" s="67"/>
    </row>
    <row r="213" spans="1:14" s="163" customFormat="1" ht="18" customHeight="1">
      <c r="A213" s="118"/>
      <c r="B213" s="212"/>
      <c r="D213" s="118"/>
      <c r="E213" s="119"/>
      <c r="H213" s="678"/>
      <c r="I213" s="678"/>
      <c r="J213" s="678"/>
      <c r="N213" s="27"/>
    </row>
    <row r="214" spans="1:13" ht="15">
      <c r="A214" s="24"/>
      <c r="B214" s="90"/>
      <c r="C214" s="162"/>
      <c r="D214" s="117"/>
      <c r="E214" s="24"/>
      <c r="F214" s="169"/>
      <c r="G214" s="169"/>
      <c r="H214" s="169"/>
      <c r="I214" s="169"/>
      <c r="J214" s="169"/>
      <c r="K214" s="169"/>
      <c r="L214" s="169"/>
      <c r="M214" s="169"/>
    </row>
    <row r="215" spans="1:13" ht="15">
      <c r="A215" s="24"/>
      <c r="B215" s="90"/>
      <c r="C215" s="162"/>
      <c r="D215" s="117"/>
      <c r="E215" s="24"/>
      <c r="F215" s="169"/>
      <c r="G215" s="169"/>
      <c r="H215" s="169"/>
      <c r="I215" s="169"/>
      <c r="J215" s="169"/>
      <c r="K215" s="169"/>
      <c r="L215" s="169"/>
      <c r="M215" s="169"/>
    </row>
    <row r="216" spans="1:13" ht="15">
      <c r="A216" s="24"/>
      <c r="B216" s="90"/>
      <c r="C216" s="162"/>
      <c r="D216" s="117"/>
      <c r="E216" s="24"/>
      <c r="F216" s="169"/>
      <c r="G216" s="169"/>
      <c r="H216" s="169"/>
      <c r="I216" s="169"/>
      <c r="J216" s="169"/>
      <c r="K216" s="169"/>
      <c r="L216" s="169"/>
      <c r="M216" s="169"/>
    </row>
    <row r="217" spans="1:14" ht="15">
      <c r="A217" s="24"/>
      <c r="B217" s="90"/>
      <c r="C217" s="162"/>
      <c r="D217" s="117"/>
      <c r="E217" s="24"/>
      <c r="F217" s="169"/>
      <c r="G217" s="169"/>
      <c r="H217" s="169"/>
      <c r="I217" s="169"/>
      <c r="J217" s="169"/>
      <c r="K217" s="169"/>
      <c r="L217" s="169"/>
      <c r="M217" s="169"/>
      <c r="N217" s="23"/>
    </row>
    <row r="218" spans="1:13" ht="15">
      <c r="A218" s="24"/>
      <c r="B218" s="90"/>
      <c r="C218" s="162"/>
      <c r="D218" s="117"/>
      <c r="E218" s="24"/>
      <c r="F218" s="169"/>
      <c r="G218" s="169"/>
      <c r="H218" s="169"/>
      <c r="I218" s="169"/>
      <c r="J218" s="169"/>
      <c r="K218" s="169"/>
      <c r="L218" s="169"/>
      <c r="M218" s="169"/>
    </row>
    <row r="219" spans="1:13" ht="15">
      <c r="A219" s="24"/>
      <c r="B219" s="90"/>
      <c r="C219" s="162"/>
      <c r="D219" s="117"/>
      <c r="E219" s="24"/>
      <c r="F219" s="169"/>
      <c r="G219" s="169"/>
      <c r="H219" s="169"/>
      <c r="I219" s="169"/>
      <c r="J219" s="169"/>
      <c r="K219" s="169"/>
      <c r="L219" s="169"/>
      <c r="M219" s="169"/>
    </row>
    <row r="220" spans="1:13" ht="15">
      <c r="A220" s="24"/>
      <c r="B220" s="90"/>
      <c r="C220" s="162"/>
      <c r="D220" s="117"/>
      <c r="E220" s="24"/>
      <c r="F220" s="169"/>
      <c r="G220" s="169"/>
      <c r="H220" s="169"/>
      <c r="I220" s="169"/>
      <c r="J220" s="169"/>
      <c r="K220" s="169"/>
      <c r="L220" s="169"/>
      <c r="M220" s="169"/>
    </row>
    <row r="221" spans="1:13" ht="15">
      <c r="A221" s="24"/>
      <c r="B221" s="90"/>
      <c r="C221" s="162"/>
      <c r="D221" s="117"/>
      <c r="E221" s="24"/>
      <c r="F221" s="169"/>
      <c r="G221" s="169"/>
      <c r="H221" s="169"/>
      <c r="I221" s="169"/>
      <c r="J221" s="169"/>
      <c r="K221" s="169"/>
      <c r="L221" s="169"/>
      <c r="M221" s="169"/>
    </row>
    <row r="222" spans="1:13" ht="15">
      <c r="A222" s="24"/>
      <c r="B222" s="90"/>
      <c r="C222" s="162"/>
      <c r="D222" s="117"/>
      <c r="E222" s="24"/>
      <c r="F222" s="169"/>
      <c r="G222" s="169"/>
      <c r="H222" s="169"/>
      <c r="I222" s="169"/>
      <c r="J222" s="169"/>
      <c r="K222" s="169"/>
      <c r="L222" s="169"/>
      <c r="M222" s="169"/>
    </row>
    <row r="223" spans="1:13" ht="15">
      <c r="A223" s="24"/>
      <c r="B223" s="90"/>
      <c r="C223" s="162"/>
      <c r="D223" s="117"/>
      <c r="E223" s="24"/>
      <c r="F223" s="169"/>
      <c r="G223" s="169"/>
      <c r="H223" s="169"/>
      <c r="I223" s="169"/>
      <c r="J223" s="169"/>
      <c r="K223" s="169"/>
      <c r="L223" s="169"/>
      <c r="M223" s="169"/>
    </row>
    <row r="224" spans="1:13" ht="15">
      <c r="A224" s="24"/>
      <c r="B224" s="90"/>
      <c r="C224" s="162"/>
      <c r="D224" s="117"/>
      <c r="E224" s="24"/>
      <c r="F224" s="169"/>
      <c r="G224" s="169"/>
      <c r="H224" s="169"/>
      <c r="I224" s="169"/>
      <c r="J224" s="169"/>
      <c r="K224" s="169"/>
      <c r="L224" s="169"/>
      <c r="M224" s="169"/>
    </row>
    <row r="225" spans="1:16" s="142" customFormat="1" ht="15">
      <c r="A225" s="24"/>
      <c r="B225" s="90"/>
      <c r="C225" s="162"/>
      <c r="D225" s="117"/>
      <c r="E225" s="24"/>
      <c r="F225" s="169"/>
      <c r="G225" s="169"/>
      <c r="H225" s="169"/>
      <c r="I225" s="169"/>
      <c r="J225" s="169"/>
      <c r="K225" s="169"/>
      <c r="L225" s="169"/>
      <c r="M225" s="169"/>
      <c r="N225" s="171"/>
      <c r="O225" s="86"/>
      <c r="P225" s="86"/>
    </row>
    <row r="226" spans="1:16" s="142" customFormat="1" ht="15">
      <c r="A226" s="24"/>
      <c r="B226" s="90"/>
      <c r="C226" s="162"/>
      <c r="D226" s="117"/>
      <c r="E226" s="24"/>
      <c r="F226" s="169"/>
      <c r="G226" s="169"/>
      <c r="H226" s="169"/>
      <c r="I226" s="169"/>
      <c r="J226" s="169"/>
      <c r="K226" s="169"/>
      <c r="L226" s="169"/>
      <c r="M226" s="169"/>
      <c r="N226" s="171"/>
      <c r="O226" s="86"/>
      <c r="P226" s="86"/>
    </row>
    <row r="227" spans="1:16" s="142" customFormat="1" ht="15">
      <c r="A227" s="24"/>
      <c r="B227" s="90"/>
      <c r="C227" s="162"/>
      <c r="D227" s="117"/>
      <c r="E227" s="24"/>
      <c r="F227" s="169"/>
      <c r="G227" s="169"/>
      <c r="H227" s="169"/>
      <c r="I227" s="169"/>
      <c r="J227" s="169"/>
      <c r="K227" s="169"/>
      <c r="L227" s="169"/>
      <c r="M227" s="169"/>
      <c r="N227" s="171"/>
      <c r="O227" s="86"/>
      <c r="P227" s="86"/>
    </row>
    <row r="228" spans="1:16" s="142" customFormat="1" ht="15">
      <c r="A228" s="24"/>
      <c r="B228" s="90"/>
      <c r="C228" s="162"/>
      <c r="D228" s="117"/>
      <c r="E228" s="24"/>
      <c r="F228" s="169"/>
      <c r="G228" s="169"/>
      <c r="H228" s="169"/>
      <c r="I228" s="169"/>
      <c r="J228" s="169"/>
      <c r="K228" s="169"/>
      <c r="L228" s="169"/>
      <c r="M228" s="169"/>
      <c r="N228" s="171"/>
      <c r="O228" s="86"/>
      <c r="P228" s="86"/>
    </row>
    <row r="229" spans="1:16" s="142" customFormat="1" ht="15">
      <c r="A229" s="24"/>
      <c r="B229" s="90"/>
      <c r="C229" s="162"/>
      <c r="D229" s="117"/>
      <c r="E229" s="24"/>
      <c r="F229" s="169"/>
      <c r="G229" s="169"/>
      <c r="H229" s="169"/>
      <c r="I229" s="169"/>
      <c r="J229" s="169"/>
      <c r="K229" s="169"/>
      <c r="L229" s="169"/>
      <c r="M229" s="169"/>
      <c r="N229" s="171"/>
      <c r="O229" s="86"/>
      <c r="P229" s="86"/>
    </row>
    <row r="230" spans="1:16" s="142" customFormat="1" ht="15">
      <c r="A230" s="24"/>
      <c r="B230" s="90"/>
      <c r="C230" s="162"/>
      <c r="D230" s="117"/>
      <c r="E230" s="24"/>
      <c r="F230" s="169"/>
      <c r="G230" s="169"/>
      <c r="H230" s="169"/>
      <c r="I230" s="169"/>
      <c r="J230" s="169"/>
      <c r="K230" s="169"/>
      <c r="L230" s="169"/>
      <c r="M230" s="169"/>
      <c r="N230" s="172"/>
      <c r="O230" s="86"/>
      <c r="P230" s="86"/>
    </row>
    <row r="231" spans="1:16" s="142" customFormat="1" ht="15">
      <c r="A231" s="24"/>
      <c r="B231" s="90"/>
      <c r="C231" s="162"/>
      <c r="D231" s="117"/>
      <c r="E231" s="24"/>
      <c r="F231" s="169"/>
      <c r="G231" s="169"/>
      <c r="H231" s="169"/>
      <c r="I231" s="169"/>
      <c r="J231" s="169"/>
      <c r="K231" s="169"/>
      <c r="L231" s="169"/>
      <c r="M231" s="169"/>
      <c r="N231" s="172"/>
      <c r="O231" s="86"/>
      <c r="P231" s="86"/>
    </row>
    <row r="232" spans="1:16" s="142" customFormat="1" ht="15">
      <c r="A232" s="24"/>
      <c r="B232" s="90"/>
      <c r="C232" s="162"/>
      <c r="D232" s="117"/>
      <c r="E232" s="24"/>
      <c r="F232" s="169"/>
      <c r="G232" s="169"/>
      <c r="H232" s="169"/>
      <c r="I232" s="169"/>
      <c r="J232" s="169"/>
      <c r="K232" s="169"/>
      <c r="L232" s="169"/>
      <c r="M232" s="169"/>
      <c r="N232" s="172"/>
      <c r="O232" s="86"/>
      <c r="P232" s="86"/>
    </row>
    <row r="233" spans="1:16" s="142" customFormat="1" ht="15">
      <c r="A233" s="24"/>
      <c r="B233" s="90"/>
      <c r="C233" s="162"/>
      <c r="D233" s="117"/>
      <c r="E233" s="24"/>
      <c r="F233" s="169"/>
      <c r="G233" s="169"/>
      <c r="H233" s="169"/>
      <c r="I233" s="169"/>
      <c r="J233" s="169"/>
      <c r="K233" s="169"/>
      <c r="L233" s="169"/>
      <c r="M233" s="169"/>
      <c r="N233" s="172"/>
      <c r="O233" s="86"/>
      <c r="P233" s="86"/>
    </row>
    <row r="234" spans="1:16" s="142" customFormat="1" ht="15">
      <c r="A234" s="24"/>
      <c r="B234" s="90"/>
      <c r="C234" s="162"/>
      <c r="D234" s="117"/>
      <c r="E234" s="24"/>
      <c r="F234" s="169"/>
      <c r="G234" s="169"/>
      <c r="H234" s="169"/>
      <c r="I234" s="169"/>
      <c r="J234" s="169"/>
      <c r="K234" s="169"/>
      <c r="L234" s="169"/>
      <c r="M234" s="169"/>
      <c r="N234" s="172"/>
      <c r="O234" s="86"/>
      <c r="P234" s="86"/>
    </row>
    <row r="235" spans="1:16" s="142" customFormat="1" ht="15">
      <c r="A235" s="24"/>
      <c r="B235" s="90"/>
      <c r="C235" s="162"/>
      <c r="D235" s="117"/>
      <c r="E235" s="24"/>
      <c r="F235" s="169"/>
      <c r="G235" s="169"/>
      <c r="H235" s="169"/>
      <c r="I235" s="169"/>
      <c r="J235" s="169"/>
      <c r="K235" s="169"/>
      <c r="L235" s="169"/>
      <c r="M235" s="169"/>
      <c r="N235" s="172"/>
      <c r="O235" s="86"/>
      <c r="P235" s="86"/>
    </row>
    <row r="236" spans="1:16" s="142" customFormat="1" ht="15">
      <c r="A236" s="24"/>
      <c r="B236" s="90"/>
      <c r="C236" s="162"/>
      <c r="D236" s="117"/>
      <c r="E236" s="24"/>
      <c r="F236" s="169"/>
      <c r="G236" s="169"/>
      <c r="H236" s="169"/>
      <c r="I236" s="169"/>
      <c r="J236" s="169"/>
      <c r="K236" s="169"/>
      <c r="L236" s="169"/>
      <c r="M236" s="169"/>
      <c r="N236" s="172"/>
      <c r="O236" s="86"/>
      <c r="P236" s="86"/>
    </row>
    <row r="237" spans="1:16" s="142" customFormat="1" ht="15">
      <c r="A237" s="24"/>
      <c r="B237" s="90"/>
      <c r="C237" s="162"/>
      <c r="D237" s="117"/>
      <c r="E237" s="24"/>
      <c r="F237" s="169"/>
      <c r="G237" s="169"/>
      <c r="H237" s="169"/>
      <c r="I237" s="169"/>
      <c r="J237" s="169"/>
      <c r="K237" s="169"/>
      <c r="L237" s="169"/>
      <c r="M237" s="169"/>
      <c r="N237" s="172"/>
      <c r="O237" s="86"/>
      <c r="P237" s="86"/>
    </row>
    <row r="238" spans="1:16" s="142" customFormat="1" ht="15">
      <c r="A238" s="24"/>
      <c r="B238" s="90"/>
      <c r="C238" s="162"/>
      <c r="D238" s="117"/>
      <c r="E238" s="24"/>
      <c r="F238" s="169"/>
      <c r="G238" s="169"/>
      <c r="H238" s="169"/>
      <c r="I238" s="169"/>
      <c r="J238" s="169"/>
      <c r="K238" s="169"/>
      <c r="L238" s="169"/>
      <c r="M238" s="169"/>
      <c r="N238" s="172"/>
      <c r="O238" s="86"/>
      <c r="P238" s="86"/>
    </row>
    <row r="239" spans="1:16" s="142" customFormat="1" ht="15">
      <c r="A239" s="24"/>
      <c r="B239" s="90"/>
      <c r="C239" s="162"/>
      <c r="D239" s="117"/>
      <c r="E239" s="24"/>
      <c r="F239" s="169"/>
      <c r="G239" s="169"/>
      <c r="H239" s="169"/>
      <c r="I239" s="169"/>
      <c r="J239" s="169"/>
      <c r="K239" s="169"/>
      <c r="L239" s="169"/>
      <c r="M239" s="169"/>
      <c r="N239" s="172"/>
      <c r="O239" s="86"/>
      <c r="P239" s="86"/>
    </row>
    <row r="240" spans="1:16" s="142" customFormat="1" ht="15">
      <c r="A240" s="24"/>
      <c r="B240" s="90"/>
      <c r="C240" s="162"/>
      <c r="D240" s="117"/>
      <c r="E240" s="24"/>
      <c r="F240" s="169"/>
      <c r="G240" s="169"/>
      <c r="H240" s="169"/>
      <c r="I240" s="169"/>
      <c r="J240" s="169"/>
      <c r="K240" s="169"/>
      <c r="L240" s="169"/>
      <c r="M240" s="169"/>
      <c r="N240" s="172"/>
      <c r="O240" s="86"/>
      <c r="P240" s="86"/>
    </row>
    <row r="241" spans="1:16" s="142" customFormat="1" ht="15">
      <c r="A241" s="24"/>
      <c r="B241" s="90"/>
      <c r="C241" s="162"/>
      <c r="D241" s="117"/>
      <c r="E241" s="24"/>
      <c r="F241" s="169"/>
      <c r="G241" s="169"/>
      <c r="H241" s="169"/>
      <c r="I241" s="169"/>
      <c r="J241" s="169"/>
      <c r="K241" s="169"/>
      <c r="L241" s="169"/>
      <c r="M241" s="169"/>
      <c r="N241" s="172"/>
      <c r="O241" s="86"/>
      <c r="P241" s="86"/>
    </row>
    <row r="242" spans="1:16" s="142" customFormat="1" ht="15">
      <c r="A242" s="24"/>
      <c r="B242" s="90"/>
      <c r="C242" s="162"/>
      <c r="D242" s="117"/>
      <c r="E242" s="24"/>
      <c r="F242" s="169"/>
      <c r="G242" s="169"/>
      <c r="H242" s="169"/>
      <c r="I242" s="169"/>
      <c r="J242" s="169"/>
      <c r="K242" s="169"/>
      <c r="L242" s="169"/>
      <c r="M242" s="169"/>
      <c r="N242" s="172"/>
      <c r="O242" s="86"/>
      <c r="P242" s="86"/>
    </row>
    <row r="243" spans="1:16" s="142" customFormat="1" ht="15">
      <c r="A243" s="24"/>
      <c r="B243" s="90"/>
      <c r="C243" s="162"/>
      <c r="D243" s="117"/>
      <c r="E243" s="24"/>
      <c r="F243" s="169"/>
      <c r="G243" s="169"/>
      <c r="H243" s="169"/>
      <c r="I243" s="169"/>
      <c r="J243" s="169"/>
      <c r="K243" s="169"/>
      <c r="L243" s="169"/>
      <c r="M243" s="169"/>
      <c r="N243" s="172"/>
      <c r="O243" s="86"/>
      <c r="P243" s="86"/>
    </row>
    <row r="244" spans="1:16" s="142" customFormat="1" ht="15">
      <c r="A244" s="24"/>
      <c r="B244" s="90"/>
      <c r="C244" s="162"/>
      <c r="D244" s="117"/>
      <c r="E244" s="24"/>
      <c r="F244" s="169"/>
      <c r="G244" s="169"/>
      <c r="H244" s="169"/>
      <c r="I244" s="169"/>
      <c r="J244" s="169"/>
      <c r="K244" s="169"/>
      <c r="L244" s="169"/>
      <c r="M244" s="169"/>
      <c r="N244" s="172"/>
      <c r="O244" s="86"/>
      <c r="P244" s="86"/>
    </row>
    <row r="245" spans="1:16" s="142" customFormat="1" ht="15">
      <c r="A245" s="24"/>
      <c r="B245" s="90"/>
      <c r="C245" s="162"/>
      <c r="D245" s="117"/>
      <c r="E245" s="24"/>
      <c r="F245" s="169"/>
      <c r="G245" s="169"/>
      <c r="H245" s="169"/>
      <c r="I245" s="169"/>
      <c r="J245" s="169"/>
      <c r="K245" s="169"/>
      <c r="L245" s="169"/>
      <c r="M245" s="169"/>
      <c r="N245" s="172"/>
      <c r="O245" s="86"/>
      <c r="P245" s="86"/>
    </row>
    <row r="246" spans="1:16" s="142" customFormat="1" ht="15">
      <c r="A246" s="24"/>
      <c r="B246" s="90"/>
      <c r="C246" s="162"/>
      <c r="D246" s="117"/>
      <c r="E246" s="24"/>
      <c r="F246" s="169"/>
      <c r="G246" s="169"/>
      <c r="H246" s="169"/>
      <c r="I246" s="169"/>
      <c r="J246" s="169"/>
      <c r="K246" s="169"/>
      <c r="L246" s="169"/>
      <c r="M246" s="169"/>
      <c r="N246" s="172"/>
      <c r="O246" s="86"/>
      <c r="P246" s="86"/>
    </row>
    <row r="247" spans="1:16" s="142" customFormat="1" ht="15">
      <c r="A247" s="24"/>
      <c r="B247" s="90"/>
      <c r="C247" s="162"/>
      <c r="D247" s="117"/>
      <c r="E247" s="24"/>
      <c r="F247" s="169"/>
      <c r="G247" s="169"/>
      <c r="H247" s="169"/>
      <c r="I247" s="169"/>
      <c r="J247" s="169"/>
      <c r="K247" s="169"/>
      <c r="L247" s="169"/>
      <c r="M247" s="169"/>
      <c r="N247" s="172"/>
      <c r="O247" s="86"/>
      <c r="P247" s="86"/>
    </row>
    <row r="248" spans="1:16" s="142" customFormat="1" ht="15">
      <c r="A248" s="24"/>
      <c r="B248" s="90"/>
      <c r="C248" s="162"/>
      <c r="D248" s="117"/>
      <c r="E248" s="24"/>
      <c r="F248" s="169"/>
      <c r="G248" s="169"/>
      <c r="H248" s="169"/>
      <c r="I248" s="169"/>
      <c r="J248" s="169"/>
      <c r="K248" s="169"/>
      <c r="L248" s="169"/>
      <c r="M248" s="169"/>
      <c r="N248" s="172"/>
      <c r="O248" s="86"/>
      <c r="P248" s="86"/>
    </row>
    <row r="249" spans="1:16" s="142" customFormat="1" ht="15">
      <c r="A249" s="24"/>
      <c r="B249" s="90"/>
      <c r="C249" s="162"/>
      <c r="D249" s="117"/>
      <c r="E249" s="24"/>
      <c r="F249" s="169"/>
      <c r="G249" s="169"/>
      <c r="H249" s="169"/>
      <c r="I249" s="169"/>
      <c r="J249" s="169"/>
      <c r="K249" s="169"/>
      <c r="L249" s="169"/>
      <c r="M249" s="169"/>
      <c r="N249" s="172"/>
      <c r="O249" s="86"/>
      <c r="P249" s="86"/>
    </row>
    <row r="250" spans="1:16" s="142" customFormat="1" ht="15">
      <c r="A250" s="24"/>
      <c r="B250" s="90"/>
      <c r="C250" s="162"/>
      <c r="D250" s="117"/>
      <c r="E250" s="24"/>
      <c r="F250" s="169"/>
      <c r="G250" s="169"/>
      <c r="H250" s="169"/>
      <c r="I250" s="169"/>
      <c r="J250" s="169"/>
      <c r="K250" s="169"/>
      <c r="L250" s="169"/>
      <c r="M250" s="169"/>
      <c r="N250" s="172"/>
      <c r="O250" s="86"/>
      <c r="P250" s="86"/>
    </row>
    <row r="251" spans="1:16" s="142" customFormat="1" ht="15">
      <c r="A251" s="24"/>
      <c r="B251" s="90"/>
      <c r="C251" s="162"/>
      <c r="D251" s="117"/>
      <c r="E251" s="24"/>
      <c r="F251" s="169"/>
      <c r="G251" s="169"/>
      <c r="H251" s="169"/>
      <c r="I251" s="169"/>
      <c r="J251" s="169"/>
      <c r="K251" s="169"/>
      <c r="L251" s="169"/>
      <c r="M251" s="169"/>
      <c r="N251" s="172"/>
      <c r="O251" s="86"/>
      <c r="P251" s="86"/>
    </row>
    <row r="252" spans="1:16" s="142" customFormat="1" ht="15">
      <c r="A252" s="24"/>
      <c r="B252" s="90"/>
      <c r="C252" s="162"/>
      <c r="D252" s="117"/>
      <c r="E252" s="24"/>
      <c r="F252" s="169"/>
      <c r="G252" s="169"/>
      <c r="H252" s="169"/>
      <c r="I252" s="169"/>
      <c r="J252" s="169"/>
      <c r="K252" s="169"/>
      <c r="L252" s="169"/>
      <c r="M252" s="169"/>
      <c r="N252" s="172"/>
      <c r="O252" s="86"/>
      <c r="P252" s="86"/>
    </row>
    <row r="253" spans="1:16" s="142" customFormat="1" ht="15">
      <c r="A253" s="24"/>
      <c r="B253" s="90"/>
      <c r="C253" s="162"/>
      <c r="D253" s="117"/>
      <c r="E253" s="24"/>
      <c r="F253" s="169"/>
      <c r="G253" s="169"/>
      <c r="H253" s="169"/>
      <c r="I253" s="169"/>
      <c r="J253" s="169"/>
      <c r="K253" s="169"/>
      <c r="L253" s="169"/>
      <c r="M253" s="169"/>
      <c r="N253" s="172"/>
      <c r="O253" s="86"/>
      <c r="P253" s="86"/>
    </row>
    <row r="254" spans="1:16" s="142" customFormat="1" ht="15">
      <c r="A254" s="24"/>
      <c r="B254" s="90"/>
      <c r="C254" s="162"/>
      <c r="D254" s="117"/>
      <c r="E254" s="24"/>
      <c r="F254" s="169"/>
      <c r="G254" s="169"/>
      <c r="H254" s="169"/>
      <c r="I254" s="169"/>
      <c r="J254" s="169"/>
      <c r="K254" s="169"/>
      <c r="L254" s="169"/>
      <c r="M254" s="169"/>
      <c r="N254" s="172"/>
      <c r="O254" s="86"/>
      <c r="P254" s="86"/>
    </row>
    <row r="255" spans="1:16" s="142" customFormat="1" ht="15">
      <c r="A255" s="24"/>
      <c r="B255" s="90"/>
      <c r="C255" s="162"/>
      <c r="D255" s="117"/>
      <c r="E255" s="24"/>
      <c r="F255" s="169"/>
      <c r="G255" s="169"/>
      <c r="H255" s="169"/>
      <c r="I255" s="169"/>
      <c r="J255" s="169"/>
      <c r="K255" s="169"/>
      <c r="L255" s="169"/>
      <c r="M255" s="169"/>
      <c r="N255" s="172"/>
      <c r="O255" s="86"/>
      <c r="P255" s="86"/>
    </row>
    <row r="256" spans="1:16" s="142" customFormat="1" ht="15">
      <c r="A256" s="24"/>
      <c r="B256" s="90"/>
      <c r="C256" s="162"/>
      <c r="D256" s="117"/>
      <c r="E256" s="24"/>
      <c r="F256" s="169"/>
      <c r="G256" s="169"/>
      <c r="H256" s="169"/>
      <c r="I256" s="169"/>
      <c r="J256" s="169"/>
      <c r="K256" s="169"/>
      <c r="L256" s="169"/>
      <c r="M256" s="169"/>
      <c r="N256" s="172"/>
      <c r="O256" s="86"/>
      <c r="P256" s="86"/>
    </row>
    <row r="257" spans="1:16" s="142" customFormat="1" ht="15">
      <c r="A257" s="24"/>
      <c r="B257" s="90"/>
      <c r="C257" s="162"/>
      <c r="D257" s="117"/>
      <c r="E257" s="24"/>
      <c r="F257" s="169"/>
      <c r="G257" s="169"/>
      <c r="H257" s="169"/>
      <c r="I257" s="169"/>
      <c r="J257" s="169"/>
      <c r="K257" s="169"/>
      <c r="L257" s="169"/>
      <c r="M257" s="169"/>
      <c r="N257" s="172"/>
      <c r="O257" s="86"/>
      <c r="P257" s="86"/>
    </row>
    <row r="258" spans="1:16" s="142" customFormat="1" ht="15">
      <c r="A258" s="24"/>
      <c r="B258" s="90"/>
      <c r="C258" s="162"/>
      <c r="D258" s="117"/>
      <c r="E258" s="24"/>
      <c r="F258" s="169"/>
      <c r="G258" s="169"/>
      <c r="H258" s="169"/>
      <c r="I258" s="169"/>
      <c r="J258" s="169"/>
      <c r="K258" s="169"/>
      <c r="L258" s="169"/>
      <c r="M258" s="169"/>
      <c r="N258" s="172"/>
      <c r="O258" s="86"/>
      <c r="P258" s="86"/>
    </row>
    <row r="259" spans="1:16" s="142" customFormat="1" ht="15">
      <c r="A259" s="24"/>
      <c r="B259" s="90"/>
      <c r="C259" s="162"/>
      <c r="D259" s="117"/>
      <c r="E259" s="24"/>
      <c r="F259" s="169"/>
      <c r="G259" s="169"/>
      <c r="H259" s="169"/>
      <c r="I259" s="169"/>
      <c r="J259" s="169"/>
      <c r="K259" s="169"/>
      <c r="L259" s="169"/>
      <c r="M259" s="169"/>
      <c r="N259" s="172"/>
      <c r="O259" s="86"/>
      <c r="P259" s="86"/>
    </row>
    <row r="260" spans="1:16" s="142" customFormat="1" ht="15">
      <c r="A260" s="24"/>
      <c r="B260" s="90"/>
      <c r="C260" s="162"/>
      <c r="D260" s="117"/>
      <c r="E260" s="24"/>
      <c r="F260" s="169"/>
      <c r="G260" s="169"/>
      <c r="H260" s="169"/>
      <c r="I260" s="169"/>
      <c r="J260" s="169"/>
      <c r="K260" s="169"/>
      <c r="L260" s="169"/>
      <c r="M260" s="169"/>
      <c r="N260" s="172"/>
      <c r="O260" s="86"/>
      <c r="P260" s="86"/>
    </row>
    <row r="261" spans="1:16" s="142" customFormat="1" ht="15">
      <c r="A261" s="24"/>
      <c r="B261" s="90"/>
      <c r="C261" s="162"/>
      <c r="D261" s="117"/>
      <c r="E261" s="24"/>
      <c r="F261" s="169"/>
      <c r="G261" s="169"/>
      <c r="H261" s="169"/>
      <c r="I261" s="169"/>
      <c r="J261" s="169"/>
      <c r="K261" s="169"/>
      <c r="L261" s="169"/>
      <c r="M261" s="169"/>
      <c r="N261" s="172"/>
      <c r="O261" s="86"/>
      <c r="P261" s="86"/>
    </row>
    <row r="262" spans="1:16" s="142" customFormat="1" ht="15">
      <c r="A262" s="24"/>
      <c r="B262" s="90"/>
      <c r="C262" s="162"/>
      <c r="D262" s="117"/>
      <c r="E262" s="24"/>
      <c r="F262" s="169"/>
      <c r="G262" s="169"/>
      <c r="H262" s="169"/>
      <c r="I262" s="169"/>
      <c r="J262" s="169"/>
      <c r="K262" s="169"/>
      <c r="L262" s="169"/>
      <c r="M262" s="169"/>
      <c r="N262" s="172"/>
      <c r="O262" s="86"/>
      <c r="P262" s="86"/>
    </row>
    <row r="263" spans="1:16" s="142" customFormat="1" ht="15">
      <c r="A263" s="24"/>
      <c r="B263" s="90"/>
      <c r="C263" s="162"/>
      <c r="D263" s="117"/>
      <c r="E263" s="24"/>
      <c r="F263" s="169"/>
      <c r="G263" s="169"/>
      <c r="H263" s="169"/>
      <c r="I263" s="169"/>
      <c r="J263" s="169"/>
      <c r="K263" s="169"/>
      <c r="L263" s="169"/>
      <c r="M263" s="169"/>
      <c r="N263" s="172"/>
      <c r="O263" s="86"/>
      <c r="P263" s="86"/>
    </row>
    <row r="264" spans="1:16" s="142" customFormat="1" ht="15">
      <c r="A264" s="24"/>
      <c r="B264" s="90"/>
      <c r="C264" s="162"/>
      <c r="D264" s="117"/>
      <c r="E264" s="24"/>
      <c r="F264" s="169"/>
      <c r="G264" s="169"/>
      <c r="H264" s="169"/>
      <c r="I264" s="169"/>
      <c r="J264" s="169"/>
      <c r="K264" s="169"/>
      <c r="L264" s="169"/>
      <c r="M264" s="169"/>
      <c r="N264" s="172"/>
      <c r="O264" s="86"/>
      <c r="P264" s="86"/>
    </row>
    <row r="265" spans="1:16" s="142" customFormat="1" ht="15">
      <c r="A265" s="24"/>
      <c r="B265" s="90"/>
      <c r="C265" s="162"/>
      <c r="D265" s="117"/>
      <c r="E265" s="24"/>
      <c r="F265" s="169"/>
      <c r="G265" s="169"/>
      <c r="H265" s="169"/>
      <c r="I265" s="169"/>
      <c r="J265" s="169"/>
      <c r="K265" s="169"/>
      <c r="L265" s="169"/>
      <c r="M265" s="169"/>
      <c r="N265" s="172"/>
      <c r="O265" s="86"/>
      <c r="P265" s="86"/>
    </row>
    <row r="266" spans="1:16" s="142" customFormat="1" ht="15">
      <c r="A266" s="24"/>
      <c r="B266" s="90"/>
      <c r="C266" s="162"/>
      <c r="D266" s="117"/>
      <c r="E266" s="24"/>
      <c r="F266" s="169"/>
      <c r="G266" s="169"/>
      <c r="H266" s="169"/>
      <c r="I266" s="169"/>
      <c r="J266" s="169"/>
      <c r="K266" s="169"/>
      <c r="L266" s="169"/>
      <c r="M266" s="169"/>
      <c r="N266" s="172"/>
      <c r="O266" s="86"/>
      <c r="P266" s="86"/>
    </row>
    <row r="267" spans="1:16" s="142" customFormat="1" ht="15">
      <c r="A267" s="24"/>
      <c r="B267" s="90"/>
      <c r="C267" s="162"/>
      <c r="D267" s="117"/>
      <c r="E267" s="24"/>
      <c r="F267" s="169"/>
      <c r="G267" s="169"/>
      <c r="H267" s="169"/>
      <c r="I267" s="169"/>
      <c r="J267" s="169"/>
      <c r="K267" s="169"/>
      <c r="L267" s="169"/>
      <c r="M267" s="169"/>
      <c r="N267" s="172"/>
      <c r="O267" s="86"/>
      <c r="P267" s="86"/>
    </row>
    <row r="268" spans="1:16" s="142" customFormat="1" ht="15">
      <c r="A268" s="24"/>
      <c r="B268" s="90"/>
      <c r="C268" s="162"/>
      <c r="D268" s="117"/>
      <c r="E268" s="24"/>
      <c r="F268" s="169"/>
      <c r="G268" s="169"/>
      <c r="H268" s="169"/>
      <c r="I268" s="169"/>
      <c r="J268" s="169"/>
      <c r="K268" s="169"/>
      <c r="L268" s="169"/>
      <c r="M268" s="169"/>
      <c r="N268" s="172"/>
      <c r="O268" s="86"/>
      <c r="P268" s="86"/>
    </row>
    <row r="269" spans="1:16" s="142" customFormat="1" ht="15">
      <c r="A269" s="24"/>
      <c r="B269" s="90"/>
      <c r="C269" s="162"/>
      <c r="D269" s="117"/>
      <c r="E269" s="24"/>
      <c r="F269" s="169"/>
      <c r="G269" s="169"/>
      <c r="H269" s="169"/>
      <c r="I269" s="169"/>
      <c r="J269" s="169"/>
      <c r="K269" s="169"/>
      <c r="L269" s="169"/>
      <c r="M269" s="169"/>
      <c r="N269" s="172"/>
      <c r="O269" s="86"/>
      <c r="P269" s="86"/>
    </row>
    <row r="270" spans="1:16" s="142" customFormat="1" ht="15">
      <c r="A270" s="24"/>
      <c r="B270" s="90"/>
      <c r="C270" s="162"/>
      <c r="D270" s="117"/>
      <c r="E270" s="24"/>
      <c r="F270" s="169"/>
      <c r="G270" s="169"/>
      <c r="H270" s="169"/>
      <c r="I270" s="169"/>
      <c r="J270" s="169"/>
      <c r="K270" s="169"/>
      <c r="L270" s="169"/>
      <c r="M270" s="169"/>
      <c r="N270" s="172"/>
      <c r="O270" s="86"/>
      <c r="P270" s="86"/>
    </row>
    <row r="271" spans="1:16" s="142" customFormat="1" ht="15">
      <c r="A271" s="24"/>
      <c r="B271" s="90"/>
      <c r="C271" s="162"/>
      <c r="D271" s="117"/>
      <c r="E271" s="24"/>
      <c r="F271" s="169"/>
      <c r="G271" s="169"/>
      <c r="H271" s="169"/>
      <c r="I271" s="169"/>
      <c r="J271" s="169"/>
      <c r="K271" s="169"/>
      <c r="L271" s="169"/>
      <c r="M271" s="169"/>
      <c r="N271" s="172"/>
      <c r="O271" s="86"/>
      <c r="P271" s="86"/>
    </row>
    <row r="272" spans="1:16" s="142" customFormat="1" ht="15">
      <c r="A272" s="24"/>
      <c r="B272" s="90"/>
      <c r="C272" s="162"/>
      <c r="D272" s="117"/>
      <c r="E272" s="24"/>
      <c r="F272" s="169"/>
      <c r="G272" s="169"/>
      <c r="H272" s="169"/>
      <c r="I272" s="169"/>
      <c r="J272" s="169"/>
      <c r="K272" s="169"/>
      <c r="L272" s="169"/>
      <c r="M272" s="169"/>
      <c r="N272" s="172"/>
      <c r="O272" s="86"/>
      <c r="P272" s="86"/>
    </row>
    <row r="273" spans="1:16" s="142" customFormat="1" ht="15">
      <c r="A273" s="24"/>
      <c r="B273" s="90"/>
      <c r="C273" s="162"/>
      <c r="D273" s="117"/>
      <c r="E273" s="24"/>
      <c r="F273" s="169"/>
      <c r="G273" s="169"/>
      <c r="H273" s="169"/>
      <c r="I273" s="169"/>
      <c r="J273" s="169"/>
      <c r="K273" s="169"/>
      <c r="L273" s="169"/>
      <c r="M273" s="169"/>
      <c r="N273" s="172"/>
      <c r="O273" s="86"/>
      <c r="P273" s="86"/>
    </row>
    <row r="274" spans="1:16" s="142" customFormat="1" ht="15">
      <c r="A274" s="24"/>
      <c r="B274" s="90"/>
      <c r="C274" s="162"/>
      <c r="D274" s="117"/>
      <c r="E274" s="24"/>
      <c r="F274" s="169"/>
      <c r="G274" s="169"/>
      <c r="H274" s="169"/>
      <c r="I274" s="169"/>
      <c r="J274" s="169"/>
      <c r="K274" s="169"/>
      <c r="L274" s="169"/>
      <c r="M274" s="169"/>
      <c r="N274" s="172"/>
      <c r="O274" s="86"/>
      <c r="P274" s="86"/>
    </row>
    <row r="275" spans="1:16" s="142" customFormat="1" ht="15">
      <c r="A275" s="24"/>
      <c r="B275" s="90"/>
      <c r="C275" s="162"/>
      <c r="D275" s="117"/>
      <c r="E275" s="24"/>
      <c r="F275" s="169"/>
      <c r="G275" s="169"/>
      <c r="H275" s="169"/>
      <c r="I275" s="169"/>
      <c r="J275" s="169"/>
      <c r="K275" s="169"/>
      <c r="L275" s="169"/>
      <c r="M275" s="169"/>
      <c r="N275" s="172"/>
      <c r="O275" s="86"/>
      <c r="P275" s="86"/>
    </row>
    <row r="276" spans="1:16" s="142" customFormat="1" ht="15">
      <c r="A276" s="24"/>
      <c r="B276" s="90"/>
      <c r="C276" s="162"/>
      <c r="D276" s="117"/>
      <c r="E276" s="24"/>
      <c r="F276" s="169"/>
      <c r="G276" s="169"/>
      <c r="H276" s="169"/>
      <c r="I276" s="169"/>
      <c r="J276" s="169"/>
      <c r="K276" s="169"/>
      <c r="L276" s="169"/>
      <c r="M276" s="169"/>
      <c r="N276" s="172"/>
      <c r="O276" s="86"/>
      <c r="P276" s="86"/>
    </row>
    <row r="277" spans="1:16" s="142" customFormat="1" ht="15">
      <c r="A277" s="24"/>
      <c r="B277" s="90"/>
      <c r="C277" s="162"/>
      <c r="D277" s="117"/>
      <c r="E277" s="24"/>
      <c r="F277" s="169"/>
      <c r="G277" s="169"/>
      <c r="H277" s="169"/>
      <c r="I277" s="169"/>
      <c r="J277" s="169"/>
      <c r="K277" s="169"/>
      <c r="L277" s="169"/>
      <c r="M277" s="169"/>
      <c r="N277" s="172"/>
      <c r="O277" s="86"/>
      <c r="P277" s="86"/>
    </row>
    <row r="278" spans="1:16" s="142" customFormat="1" ht="15">
      <c r="A278" s="24"/>
      <c r="B278" s="90"/>
      <c r="C278" s="162"/>
      <c r="D278" s="117"/>
      <c r="E278" s="24"/>
      <c r="F278" s="169"/>
      <c r="G278" s="169"/>
      <c r="H278" s="169"/>
      <c r="I278" s="169"/>
      <c r="J278" s="169"/>
      <c r="K278" s="169"/>
      <c r="L278" s="169"/>
      <c r="M278" s="169"/>
      <c r="N278" s="172"/>
      <c r="O278" s="86"/>
      <c r="P278" s="86"/>
    </row>
    <row r="279" spans="1:16" s="142" customFormat="1" ht="15">
      <c r="A279" s="24"/>
      <c r="B279" s="90"/>
      <c r="C279" s="162"/>
      <c r="D279" s="117"/>
      <c r="E279" s="24"/>
      <c r="F279" s="169"/>
      <c r="G279" s="169"/>
      <c r="H279" s="169"/>
      <c r="I279" s="169"/>
      <c r="J279" s="169"/>
      <c r="K279" s="169"/>
      <c r="L279" s="169"/>
      <c r="M279" s="169"/>
      <c r="N279" s="172"/>
      <c r="O279" s="86"/>
      <c r="P279" s="86"/>
    </row>
    <row r="280" spans="1:16" s="142" customFormat="1" ht="15">
      <c r="A280" s="24"/>
      <c r="B280" s="90"/>
      <c r="C280" s="162"/>
      <c r="D280" s="117"/>
      <c r="E280" s="24"/>
      <c r="F280" s="169"/>
      <c r="G280" s="169"/>
      <c r="H280" s="169"/>
      <c r="I280" s="169"/>
      <c r="J280" s="169"/>
      <c r="K280" s="169"/>
      <c r="L280" s="169"/>
      <c r="M280" s="169"/>
      <c r="N280" s="172"/>
      <c r="O280" s="86"/>
      <c r="P280" s="86"/>
    </row>
    <row r="281" spans="1:16" s="142" customFormat="1" ht="15">
      <c r="A281" s="24"/>
      <c r="B281" s="90"/>
      <c r="C281" s="162"/>
      <c r="D281" s="117"/>
      <c r="E281" s="24"/>
      <c r="F281" s="169"/>
      <c r="G281" s="169"/>
      <c r="H281" s="169"/>
      <c r="I281" s="169"/>
      <c r="J281" s="169"/>
      <c r="K281" s="169"/>
      <c r="L281" s="169"/>
      <c r="M281" s="169"/>
      <c r="N281" s="172"/>
      <c r="O281" s="86"/>
      <c r="P281" s="86"/>
    </row>
    <row r="282" spans="1:16" s="142" customFormat="1" ht="15">
      <c r="A282" s="24"/>
      <c r="B282" s="90"/>
      <c r="C282" s="162"/>
      <c r="D282" s="117"/>
      <c r="E282" s="24"/>
      <c r="F282" s="169"/>
      <c r="G282" s="169"/>
      <c r="H282" s="169"/>
      <c r="I282" s="169"/>
      <c r="J282" s="169"/>
      <c r="K282" s="169"/>
      <c r="L282" s="169"/>
      <c r="M282" s="169"/>
      <c r="N282" s="172"/>
      <c r="O282" s="86"/>
      <c r="P282" s="86"/>
    </row>
    <row r="283" spans="1:16" s="142" customFormat="1" ht="15">
      <c r="A283" s="24"/>
      <c r="B283" s="90"/>
      <c r="C283" s="162"/>
      <c r="D283" s="117"/>
      <c r="E283" s="24"/>
      <c r="F283" s="169"/>
      <c r="G283" s="169"/>
      <c r="H283" s="169"/>
      <c r="I283" s="169"/>
      <c r="J283" s="169"/>
      <c r="K283" s="169"/>
      <c r="L283" s="169"/>
      <c r="M283" s="169"/>
      <c r="N283" s="172"/>
      <c r="O283" s="86"/>
      <c r="P283" s="86"/>
    </row>
    <row r="284" spans="1:16" s="142" customFormat="1" ht="15">
      <c r="A284" s="24"/>
      <c r="B284" s="90"/>
      <c r="C284" s="162"/>
      <c r="D284" s="117"/>
      <c r="E284" s="24"/>
      <c r="F284" s="169"/>
      <c r="G284" s="169"/>
      <c r="H284" s="169"/>
      <c r="I284" s="169"/>
      <c r="J284" s="169"/>
      <c r="K284" s="169"/>
      <c r="L284" s="169"/>
      <c r="M284" s="169"/>
      <c r="N284" s="172"/>
      <c r="O284" s="86"/>
      <c r="P284" s="86"/>
    </row>
    <row r="285" spans="1:16" s="142" customFormat="1" ht="15">
      <c r="A285" s="24"/>
      <c r="B285" s="90"/>
      <c r="C285" s="162"/>
      <c r="D285" s="117"/>
      <c r="E285" s="24"/>
      <c r="F285" s="169"/>
      <c r="G285" s="169"/>
      <c r="H285" s="169"/>
      <c r="I285" s="169"/>
      <c r="J285" s="169"/>
      <c r="K285" s="169"/>
      <c r="L285" s="169"/>
      <c r="M285" s="169"/>
      <c r="N285" s="172"/>
      <c r="O285" s="86"/>
      <c r="P285" s="86"/>
    </row>
    <row r="286" spans="1:16" s="142" customFormat="1" ht="15">
      <c r="A286" s="24"/>
      <c r="B286" s="90"/>
      <c r="C286" s="162"/>
      <c r="D286" s="117"/>
      <c r="E286" s="24"/>
      <c r="F286" s="169"/>
      <c r="G286" s="169"/>
      <c r="H286" s="169"/>
      <c r="I286" s="169"/>
      <c r="J286" s="169"/>
      <c r="K286" s="169"/>
      <c r="L286" s="169"/>
      <c r="M286" s="169"/>
      <c r="N286" s="172"/>
      <c r="O286" s="86"/>
      <c r="P286" s="86"/>
    </row>
    <row r="287" spans="1:16" s="142" customFormat="1" ht="15">
      <c r="A287" s="24"/>
      <c r="B287" s="90"/>
      <c r="C287" s="162"/>
      <c r="D287" s="117"/>
      <c r="E287" s="24"/>
      <c r="F287" s="169"/>
      <c r="G287" s="169"/>
      <c r="H287" s="169"/>
      <c r="I287" s="169"/>
      <c r="J287" s="169"/>
      <c r="K287" s="169"/>
      <c r="L287" s="169"/>
      <c r="M287" s="169"/>
      <c r="N287" s="172"/>
      <c r="O287" s="86"/>
      <c r="P287" s="86"/>
    </row>
    <row r="288" spans="1:16" s="142" customFormat="1" ht="15">
      <c r="A288" s="24"/>
      <c r="B288" s="90"/>
      <c r="C288" s="162"/>
      <c r="D288" s="117"/>
      <c r="E288" s="24"/>
      <c r="F288" s="169"/>
      <c r="G288" s="169"/>
      <c r="H288" s="169"/>
      <c r="I288" s="169"/>
      <c r="J288" s="169"/>
      <c r="K288" s="169"/>
      <c r="L288" s="169"/>
      <c r="M288" s="169"/>
      <c r="N288" s="172"/>
      <c r="O288" s="86"/>
      <c r="P288" s="86"/>
    </row>
    <row r="289" spans="1:16" s="142" customFormat="1" ht="15">
      <c r="A289" s="24"/>
      <c r="B289" s="90"/>
      <c r="C289" s="162"/>
      <c r="D289" s="117"/>
      <c r="E289" s="24"/>
      <c r="F289" s="169"/>
      <c r="G289" s="169"/>
      <c r="H289" s="169"/>
      <c r="I289" s="169"/>
      <c r="J289" s="169"/>
      <c r="K289" s="169"/>
      <c r="L289" s="169"/>
      <c r="M289" s="169"/>
      <c r="N289" s="172"/>
      <c r="O289" s="86"/>
      <c r="P289" s="86"/>
    </row>
    <row r="290" spans="1:16" s="142" customFormat="1" ht="15">
      <c r="A290" s="24"/>
      <c r="B290" s="90"/>
      <c r="C290" s="162"/>
      <c r="D290" s="117"/>
      <c r="E290" s="24"/>
      <c r="F290" s="169"/>
      <c r="G290" s="169"/>
      <c r="H290" s="169"/>
      <c r="I290" s="169"/>
      <c r="J290" s="169"/>
      <c r="K290" s="169"/>
      <c r="L290" s="169"/>
      <c r="M290" s="169"/>
      <c r="N290" s="172"/>
      <c r="O290" s="86"/>
      <c r="P290" s="86"/>
    </row>
    <row r="291" spans="1:16" s="142" customFormat="1" ht="15">
      <c r="A291" s="24"/>
      <c r="B291" s="90"/>
      <c r="C291" s="162"/>
      <c r="D291" s="117"/>
      <c r="E291" s="24"/>
      <c r="F291" s="169"/>
      <c r="G291" s="169"/>
      <c r="H291" s="169"/>
      <c r="I291" s="169"/>
      <c r="J291" s="169"/>
      <c r="K291" s="169"/>
      <c r="L291" s="169"/>
      <c r="M291" s="169"/>
      <c r="N291" s="172"/>
      <c r="O291" s="86"/>
      <c r="P291" s="86"/>
    </row>
    <row r="292" spans="1:16" s="142" customFormat="1" ht="15">
      <c r="A292" s="24"/>
      <c r="B292" s="90"/>
      <c r="C292" s="162"/>
      <c r="D292" s="117"/>
      <c r="E292" s="24"/>
      <c r="F292" s="169"/>
      <c r="G292" s="169"/>
      <c r="H292" s="169"/>
      <c r="I292" s="169"/>
      <c r="J292" s="169"/>
      <c r="K292" s="169"/>
      <c r="L292" s="169"/>
      <c r="M292" s="169"/>
      <c r="N292" s="172"/>
      <c r="O292" s="86"/>
      <c r="P292" s="86"/>
    </row>
    <row r="293" spans="1:16" s="142" customFormat="1" ht="15">
      <c r="A293" s="24"/>
      <c r="B293" s="90"/>
      <c r="C293" s="162"/>
      <c r="D293" s="117"/>
      <c r="E293" s="24"/>
      <c r="F293" s="169"/>
      <c r="G293" s="169"/>
      <c r="H293" s="169"/>
      <c r="I293" s="169"/>
      <c r="J293" s="169"/>
      <c r="K293" s="169"/>
      <c r="L293" s="169"/>
      <c r="M293" s="169"/>
      <c r="N293" s="172"/>
      <c r="O293" s="86"/>
      <c r="P293" s="86"/>
    </row>
    <row r="294" spans="1:16" s="142" customFormat="1" ht="15">
      <c r="A294" s="24"/>
      <c r="B294" s="90"/>
      <c r="C294" s="162"/>
      <c r="D294" s="117"/>
      <c r="E294" s="24"/>
      <c r="F294" s="169"/>
      <c r="G294" s="169"/>
      <c r="H294" s="169"/>
      <c r="I294" s="169"/>
      <c r="J294" s="169"/>
      <c r="K294" s="169"/>
      <c r="L294" s="169"/>
      <c r="M294" s="169"/>
      <c r="N294" s="172"/>
      <c r="O294" s="86"/>
      <c r="P294" s="86"/>
    </row>
    <row r="295" spans="1:16" s="142" customFormat="1" ht="15">
      <c r="A295" s="24"/>
      <c r="B295" s="90"/>
      <c r="C295" s="162"/>
      <c r="D295" s="117"/>
      <c r="E295" s="24"/>
      <c r="F295" s="169"/>
      <c r="G295" s="169"/>
      <c r="H295" s="169"/>
      <c r="I295" s="169"/>
      <c r="J295" s="169"/>
      <c r="K295" s="169"/>
      <c r="L295" s="169"/>
      <c r="M295" s="169"/>
      <c r="N295" s="172"/>
      <c r="O295" s="86"/>
      <c r="P295" s="86"/>
    </row>
    <row r="296" spans="1:16" s="142" customFormat="1" ht="15">
      <c r="A296" s="24"/>
      <c r="B296" s="90"/>
      <c r="C296" s="162"/>
      <c r="D296" s="117"/>
      <c r="E296" s="24"/>
      <c r="F296" s="169"/>
      <c r="G296" s="169"/>
      <c r="H296" s="169"/>
      <c r="I296" s="169"/>
      <c r="J296" s="169"/>
      <c r="K296" s="169"/>
      <c r="L296" s="169"/>
      <c r="M296" s="169"/>
      <c r="N296" s="172"/>
      <c r="O296" s="86"/>
      <c r="P296" s="86"/>
    </row>
    <row r="297" spans="1:16" s="142" customFormat="1" ht="15">
      <c r="A297" s="24"/>
      <c r="B297" s="90"/>
      <c r="C297" s="162"/>
      <c r="D297" s="117"/>
      <c r="E297" s="24"/>
      <c r="F297" s="169"/>
      <c r="G297" s="169"/>
      <c r="H297" s="169"/>
      <c r="I297" s="169"/>
      <c r="J297" s="169"/>
      <c r="K297" s="169"/>
      <c r="L297" s="169"/>
      <c r="M297" s="169"/>
      <c r="N297" s="172"/>
      <c r="O297" s="86"/>
      <c r="P297" s="86"/>
    </row>
    <row r="298" spans="1:16" s="142" customFormat="1" ht="15">
      <c r="A298" s="24"/>
      <c r="B298" s="90"/>
      <c r="C298" s="162"/>
      <c r="D298" s="117"/>
      <c r="E298" s="24"/>
      <c r="F298" s="169"/>
      <c r="G298" s="169"/>
      <c r="H298" s="169"/>
      <c r="I298" s="169"/>
      <c r="J298" s="169"/>
      <c r="K298" s="169"/>
      <c r="L298" s="169"/>
      <c r="M298" s="169"/>
      <c r="N298" s="172"/>
      <c r="O298" s="86"/>
      <c r="P298" s="86"/>
    </row>
    <row r="299" spans="1:16" s="142" customFormat="1" ht="15">
      <c r="A299" s="24"/>
      <c r="B299" s="90"/>
      <c r="C299" s="162"/>
      <c r="D299" s="117"/>
      <c r="E299" s="24"/>
      <c r="F299" s="169"/>
      <c r="G299" s="169"/>
      <c r="H299" s="169"/>
      <c r="I299" s="169"/>
      <c r="J299" s="169"/>
      <c r="K299" s="169"/>
      <c r="L299" s="169"/>
      <c r="M299" s="169"/>
      <c r="N299" s="172"/>
      <c r="O299" s="86"/>
      <c r="P299" s="86"/>
    </row>
    <row r="300" spans="1:16" s="142" customFormat="1" ht="15">
      <c r="A300" s="24"/>
      <c r="B300" s="90"/>
      <c r="C300" s="162"/>
      <c r="D300" s="117"/>
      <c r="E300" s="24"/>
      <c r="F300" s="169"/>
      <c r="G300" s="169"/>
      <c r="H300" s="169"/>
      <c r="I300" s="169"/>
      <c r="J300" s="169"/>
      <c r="K300" s="169"/>
      <c r="L300" s="169"/>
      <c r="M300" s="169"/>
      <c r="N300" s="172"/>
      <c r="O300" s="86"/>
      <c r="P300" s="86"/>
    </row>
    <row r="301" spans="1:16" s="142" customFormat="1" ht="15">
      <c r="A301" s="24"/>
      <c r="B301" s="90"/>
      <c r="C301" s="162"/>
      <c r="D301" s="117"/>
      <c r="E301" s="24"/>
      <c r="F301" s="169"/>
      <c r="G301" s="169"/>
      <c r="H301" s="169"/>
      <c r="I301" s="169"/>
      <c r="J301" s="169"/>
      <c r="K301" s="169"/>
      <c r="L301" s="169"/>
      <c r="M301" s="169"/>
      <c r="N301" s="172"/>
      <c r="O301" s="86"/>
      <c r="P301" s="86"/>
    </row>
    <row r="302" spans="1:16" s="142" customFormat="1" ht="15">
      <c r="A302" s="24"/>
      <c r="B302" s="90"/>
      <c r="C302" s="162"/>
      <c r="D302" s="117"/>
      <c r="E302" s="24"/>
      <c r="F302" s="169"/>
      <c r="G302" s="169"/>
      <c r="H302" s="169"/>
      <c r="I302" s="169"/>
      <c r="J302" s="169"/>
      <c r="K302" s="169"/>
      <c r="L302" s="169"/>
      <c r="M302" s="169"/>
      <c r="N302" s="172"/>
      <c r="O302" s="86"/>
      <c r="P302" s="86"/>
    </row>
    <row r="303" spans="1:16" s="142" customFormat="1" ht="15">
      <c r="A303" s="24"/>
      <c r="B303" s="90"/>
      <c r="C303" s="162"/>
      <c r="D303" s="117"/>
      <c r="E303" s="24"/>
      <c r="F303" s="169"/>
      <c r="G303" s="169"/>
      <c r="H303" s="169"/>
      <c r="I303" s="169"/>
      <c r="J303" s="169"/>
      <c r="K303" s="169"/>
      <c r="L303" s="169"/>
      <c r="M303" s="169"/>
      <c r="N303" s="172"/>
      <c r="O303" s="86"/>
      <c r="P303" s="86"/>
    </row>
    <row r="304" spans="1:16" s="142" customFormat="1" ht="15">
      <c r="A304" s="24"/>
      <c r="B304" s="90"/>
      <c r="C304" s="162"/>
      <c r="D304" s="117"/>
      <c r="E304" s="24"/>
      <c r="F304" s="169"/>
      <c r="G304" s="169"/>
      <c r="H304" s="169"/>
      <c r="I304" s="169"/>
      <c r="J304" s="169"/>
      <c r="K304" s="169"/>
      <c r="L304" s="169"/>
      <c r="M304" s="169"/>
      <c r="N304" s="172"/>
      <c r="O304" s="86"/>
      <c r="P304" s="86"/>
    </row>
    <row r="305" spans="1:16" s="142" customFormat="1" ht="15">
      <c r="A305" s="24"/>
      <c r="B305" s="90"/>
      <c r="C305" s="162"/>
      <c r="D305" s="117"/>
      <c r="E305" s="24"/>
      <c r="F305" s="169"/>
      <c r="G305" s="169"/>
      <c r="H305" s="169"/>
      <c r="I305" s="169"/>
      <c r="J305" s="169"/>
      <c r="K305" s="169"/>
      <c r="L305" s="169"/>
      <c r="M305" s="169"/>
      <c r="N305" s="172"/>
      <c r="O305" s="86"/>
      <c r="P305" s="86"/>
    </row>
    <row r="306" spans="1:16" s="142" customFormat="1" ht="15">
      <c r="A306" s="24"/>
      <c r="B306" s="90"/>
      <c r="C306" s="162"/>
      <c r="D306" s="117"/>
      <c r="E306" s="24"/>
      <c r="F306" s="169"/>
      <c r="G306" s="169"/>
      <c r="H306" s="169"/>
      <c r="I306" s="169"/>
      <c r="J306" s="169"/>
      <c r="K306" s="169"/>
      <c r="L306" s="169"/>
      <c r="M306" s="169"/>
      <c r="N306" s="172"/>
      <c r="O306" s="86"/>
      <c r="P306" s="86"/>
    </row>
    <row r="307" spans="1:16" s="142" customFormat="1" ht="15">
      <c r="A307" s="24"/>
      <c r="B307" s="90"/>
      <c r="C307" s="162"/>
      <c r="D307" s="117"/>
      <c r="E307" s="24"/>
      <c r="F307" s="169"/>
      <c r="G307" s="169"/>
      <c r="H307" s="169"/>
      <c r="I307" s="169"/>
      <c r="J307" s="169"/>
      <c r="K307" s="169"/>
      <c r="L307" s="169"/>
      <c r="M307" s="169"/>
      <c r="N307" s="172"/>
      <c r="O307" s="86"/>
      <c r="P307" s="86"/>
    </row>
    <row r="308" spans="1:16" s="142" customFormat="1" ht="15">
      <c r="A308" s="24"/>
      <c r="B308" s="90"/>
      <c r="C308" s="162"/>
      <c r="D308" s="117"/>
      <c r="E308" s="24"/>
      <c r="F308" s="169"/>
      <c r="G308" s="169"/>
      <c r="H308" s="169"/>
      <c r="I308" s="169"/>
      <c r="J308" s="169"/>
      <c r="K308" s="169"/>
      <c r="L308" s="169"/>
      <c r="M308" s="169"/>
      <c r="N308" s="172"/>
      <c r="O308" s="86"/>
      <c r="P308" s="86"/>
    </row>
    <row r="309" spans="1:16" s="142" customFormat="1" ht="15">
      <c r="A309" s="24"/>
      <c r="B309" s="90"/>
      <c r="C309" s="162"/>
      <c r="D309" s="117"/>
      <c r="E309" s="24"/>
      <c r="F309" s="169"/>
      <c r="G309" s="169"/>
      <c r="H309" s="169"/>
      <c r="I309" s="169"/>
      <c r="J309" s="169"/>
      <c r="K309" s="169"/>
      <c r="L309" s="169"/>
      <c r="M309" s="169"/>
      <c r="N309" s="172"/>
      <c r="O309" s="86"/>
      <c r="P309" s="86"/>
    </row>
    <row r="310" spans="1:16" s="142" customFormat="1" ht="15">
      <c r="A310" s="24"/>
      <c r="B310" s="90"/>
      <c r="C310" s="162"/>
      <c r="D310" s="117"/>
      <c r="E310" s="24"/>
      <c r="F310" s="169"/>
      <c r="G310" s="169"/>
      <c r="H310" s="169"/>
      <c r="I310" s="169"/>
      <c r="J310" s="169"/>
      <c r="K310" s="169"/>
      <c r="L310" s="169"/>
      <c r="M310" s="169"/>
      <c r="N310" s="172"/>
      <c r="O310" s="86"/>
      <c r="P310" s="86"/>
    </row>
    <row r="311" spans="1:16" s="142" customFormat="1" ht="15">
      <c r="A311" s="24"/>
      <c r="B311" s="90"/>
      <c r="C311" s="162"/>
      <c r="D311" s="117"/>
      <c r="E311" s="24"/>
      <c r="F311" s="169"/>
      <c r="G311" s="169"/>
      <c r="H311" s="169"/>
      <c r="I311" s="169"/>
      <c r="J311" s="169"/>
      <c r="K311" s="169"/>
      <c r="L311" s="169"/>
      <c r="M311" s="169"/>
      <c r="N311" s="172"/>
      <c r="O311" s="86"/>
      <c r="P311" s="86"/>
    </row>
    <row r="312" spans="1:16" s="142" customFormat="1" ht="15">
      <c r="A312" s="24"/>
      <c r="B312" s="90"/>
      <c r="C312" s="162"/>
      <c r="D312" s="117"/>
      <c r="E312" s="24"/>
      <c r="F312" s="169"/>
      <c r="G312" s="169"/>
      <c r="H312" s="169"/>
      <c r="I312" s="169"/>
      <c r="J312" s="169"/>
      <c r="K312" s="169"/>
      <c r="L312" s="169"/>
      <c r="M312" s="169"/>
      <c r="N312" s="172"/>
      <c r="O312" s="86"/>
      <c r="P312" s="86"/>
    </row>
    <row r="313" spans="1:16" s="142" customFormat="1" ht="15">
      <c r="A313" s="24"/>
      <c r="B313" s="90"/>
      <c r="C313" s="162"/>
      <c r="D313" s="117"/>
      <c r="E313" s="24"/>
      <c r="F313" s="169"/>
      <c r="G313" s="169"/>
      <c r="H313" s="169"/>
      <c r="I313" s="169"/>
      <c r="J313" s="169"/>
      <c r="K313" s="169"/>
      <c r="L313" s="169"/>
      <c r="M313" s="169"/>
      <c r="N313" s="172"/>
      <c r="O313" s="86"/>
      <c r="P313" s="86"/>
    </row>
    <row r="314" spans="1:16" s="142" customFormat="1" ht="15">
      <c r="A314" s="24"/>
      <c r="B314" s="90"/>
      <c r="C314" s="162"/>
      <c r="D314" s="117"/>
      <c r="E314" s="24"/>
      <c r="F314" s="169"/>
      <c r="G314" s="169"/>
      <c r="H314" s="169"/>
      <c r="I314" s="169"/>
      <c r="J314" s="169"/>
      <c r="K314" s="169"/>
      <c r="L314" s="169"/>
      <c r="M314" s="169"/>
      <c r="N314" s="172"/>
      <c r="O314" s="86"/>
      <c r="P314" s="86"/>
    </row>
    <row r="315" spans="1:16" s="142" customFormat="1" ht="15">
      <c r="A315" s="24"/>
      <c r="B315" s="90"/>
      <c r="C315" s="162"/>
      <c r="D315" s="117"/>
      <c r="E315" s="24"/>
      <c r="F315" s="169"/>
      <c r="G315" s="169"/>
      <c r="H315" s="169"/>
      <c r="I315" s="169"/>
      <c r="J315" s="169"/>
      <c r="K315" s="169"/>
      <c r="L315" s="169"/>
      <c r="M315" s="169"/>
      <c r="N315" s="172"/>
      <c r="O315" s="86"/>
      <c r="P315" s="86"/>
    </row>
    <row r="316" spans="1:16" s="142" customFormat="1" ht="15">
      <c r="A316" s="24"/>
      <c r="B316" s="90"/>
      <c r="C316" s="162"/>
      <c r="D316" s="117"/>
      <c r="E316" s="24"/>
      <c r="F316" s="169"/>
      <c r="G316" s="169"/>
      <c r="H316" s="169"/>
      <c r="I316" s="169"/>
      <c r="J316" s="169"/>
      <c r="K316" s="169"/>
      <c r="L316" s="169"/>
      <c r="M316" s="169"/>
      <c r="N316" s="172"/>
      <c r="O316" s="86"/>
      <c r="P316" s="86"/>
    </row>
    <row r="317" spans="1:16" s="142" customFormat="1" ht="15">
      <c r="A317" s="24"/>
      <c r="B317" s="90"/>
      <c r="C317" s="162"/>
      <c r="D317" s="117"/>
      <c r="E317" s="24"/>
      <c r="F317" s="169"/>
      <c r="G317" s="169"/>
      <c r="H317" s="169"/>
      <c r="I317" s="169"/>
      <c r="J317" s="169"/>
      <c r="K317" s="169"/>
      <c r="L317" s="169"/>
      <c r="M317" s="169"/>
      <c r="N317" s="172"/>
      <c r="O317" s="86"/>
      <c r="P317" s="86"/>
    </row>
    <row r="318" spans="1:16" s="142" customFormat="1" ht="15">
      <c r="A318" s="24"/>
      <c r="B318" s="90"/>
      <c r="C318" s="162"/>
      <c r="D318" s="117"/>
      <c r="E318" s="24"/>
      <c r="F318" s="169"/>
      <c r="G318" s="169"/>
      <c r="H318" s="169"/>
      <c r="I318" s="169"/>
      <c r="J318" s="169"/>
      <c r="K318" s="169"/>
      <c r="L318" s="169"/>
      <c r="M318" s="169"/>
      <c r="N318" s="172"/>
      <c r="O318" s="86"/>
      <c r="P318" s="86"/>
    </row>
    <row r="319" spans="1:16" s="142" customFormat="1" ht="15">
      <c r="A319" s="24"/>
      <c r="B319" s="90"/>
      <c r="C319" s="162"/>
      <c r="D319" s="117"/>
      <c r="E319" s="24"/>
      <c r="F319" s="169"/>
      <c r="G319" s="169"/>
      <c r="H319" s="169"/>
      <c r="I319" s="169"/>
      <c r="J319" s="169"/>
      <c r="K319" s="169"/>
      <c r="L319" s="169"/>
      <c r="M319" s="169"/>
      <c r="N319" s="172"/>
      <c r="O319" s="86"/>
      <c r="P319" s="86"/>
    </row>
    <row r="320" spans="1:16" s="142" customFormat="1" ht="15">
      <c r="A320" s="24"/>
      <c r="B320" s="90"/>
      <c r="C320" s="162"/>
      <c r="D320" s="117"/>
      <c r="E320" s="24"/>
      <c r="F320" s="169"/>
      <c r="G320" s="169"/>
      <c r="H320" s="169"/>
      <c r="I320" s="169"/>
      <c r="J320" s="169"/>
      <c r="K320" s="169"/>
      <c r="L320" s="169"/>
      <c r="M320" s="169"/>
      <c r="N320" s="172"/>
      <c r="O320" s="86"/>
      <c r="P320" s="86"/>
    </row>
    <row r="321" spans="1:16" s="142" customFormat="1" ht="15">
      <c r="A321" s="24"/>
      <c r="B321" s="90"/>
      <c r="C321" s="162"/>
      <c r="D321" s="117"/>
      <c r="E321" s="24"/>
      <c r="F321" s="169"/>
      <c r="G321" s="169"/>
      <c r="H321" s="169"/>
      <c r="I321" s="169"/>
      <c r="J321" s="169"/>
      <c r="K321" s="169"/>
      <c r="L321" s="169"/>
      <c r="M321" s="169"/>
      <c r="N321" s="172"/>
      <c r="O321" s="86"/>
      <c r="P321" s="86"/>
    </row>
    <row r="322" spans="1:16" s="142" customFormat="1" ht="15">
      <c r="A322" s="24"/>
      <c r="B322" s="90"/>
      <c r="C322" s="162"/>
      <c r="D322" s="117"/>
      <c r="E322" s="24"/>
      <c r="F322" s="169"/>
      <c r="G322" s="169"/>
      <c r="H322" s="169"/>
      <c r="I322" s="169"/>
      <c r="J322" s="169"/>
      <c r="K322" s="169"/>
      <c r="L322" s="169"/>
      <c r="M322" s="169"/>
      <c r="N322" s="172"/>
      <c r="O322" s="86"/>
      <c r="P322" s="86"/>
    </row>
    <row r="323" spans="1:16" s="142" customFormat="1" ht="15">
      <c r="A323" s="24"/>
      <c r="B323" s="90"/>
      <c r="C323" s="162"/>
      <c r="D323" s="117"/>
      <c r="E323" s="24"/>
      <c r="F323" s="169"/>
      <c r="G323" s="169"/>
      <c r="H323" s="169"/>
      <c r="I323" s="169"/>
      <c r="J323" s="169"/>
      <c r="K323" s="169"/>
      <c r="L323" s="169"/>
      <c r="M323" s="169"/>
      <c r="N323" s="172"/>
      <c r="O323" s="86"/>
      <c r="P323" s="86"/>
    </row>
    <row r="324" spans="1:16" s="142" customFormat="1" ht="15">
      <c r="A324" s="121"/>
      <c r="B324" s="213"/>
      <c r="C324" s="86"/>
      <c r="D324" s="120"/>
      <c r="E324" s="121"/>
      <c r="F324" s="172"/>
      <c r="G324" s="172"/>
      <c r="H324" s="172"/>
      <c r="I324" s="172"/>
      <c r="J324" s="172"/>
      <c r="K324" s="172"/>
      <c r="L324" s="172"/>
      <c r="M324" s="172"/>
      <c r="N324" s="172"/>
      <c r="O324" s="86"/>
      <c r="P324" s="86"/>
    </row>
    <row r="325" spans="1:16" s="142" customFormat="1" ht="15">
      <c r="A325" s="121"/>
      <c r="B325" s="213"/>
      <c r="C325" s="86"/>
      <c r="D325" s="120"/>
      <c r="E325" s="121"/>
      <c r="F325" s="172"/>
      <c r="G325" s="172"/>
      <c r="H325" s="172"/>
      <c r="I325" s="172"/>
      <c r="J325" s="172"/>
      <c r="K325" s="172"/>
      <c r="L325" s="172"/>
      <c r="M325" s="172"/>
      <c r="N325" s="172"/>
      <c r="O325" s="86"/>
      <c r="P325" s="86"/>
    </row>
    <row r="326" spans="1:16" s="142" customFormat="1" ht="15">
      <c r="A326" s="120"/>
      <c r="B326" s="213"/>
      <c r="C326" s="86"/>
      <c r="D326" s="120"/>
      <c r="E326" s="120"/>
      <c r="F326" s="172"/>
      <c r="G326" s="172"/>
      <c r="H326" s="172"/>
      <c r="I326" s="172"/>
      <c r="J326" s="172"/>
      <c r="K326" s="172"/>
      <c r="L326" s="172"/>
      <c r="M326" s="172"/>
      <c r="N326" s="172"/>
      <c r="O326" s="86"/>
      <c r="P326" s="86"/>
    </row>
    <row r="327" spans="1:16" s="142" customFormat="1" ht="15">
      <c r="A327" s="120"/>
      <c r="B327" s="213"/>
      <c r="C327" s="86"/>
      <c r="D327" s="120"/>
      <c r="E327" s="120"/>
      <c r="F327" s="172"/>
      <c r="G327" s="172"/>
      <c r="H327" s="172"/>
      <c r="I327" s="172"/>
      <c r="J327" s="172"/>
      <c r="K327" s="172"/>
      <c r="L327" s="172"/>
      <c r="M327" s="172"/>
      <c r="N327" s="172"/>
      <c r="O327" s="86"/>
      <c r="P327" s="86"/>
    </row>
    <row r="328" spans="1:16" s="142" customFormat="1" ht="15">
      <c r="A328" s="120"/>
      <c r="B328" s="213"/>
      <c r="C328" s="86"/>
      <c r="D328" s="120"/>
      <c r="E328" s="120"/>
      <c r="F328" s="172"/>
      <c r="G328" s="172"/>
      <c r="H328" s="172"/>
      <c r="I328" s="172"/>
      <c r="J328" s="172"/>
      <c r="K328" s="172"/>
      <c r="L328" s="172"/>
      <c r="M328" s="172"/>
      <c r="N328" s="172"/>
      <c r="O328" s="86"/>
      <c r="P328" s="86"/>
    </row>
    <row r="329" spans="1:16" s="142" customFormat="1" ht="15">
      <c r="A329" s="120"/>
      <c r="B329" s="213"/>
      <c r="C329" s="86"/>
      <c r="D329" s="120"/>
      <c r="E329" s="120"/>
      <c r="F329" s="172"/>
      <c r="G329" s="172"/>
      <c r="H329" s="172"/>
      <c r="I329" s="172"/>
      <c r="J329" s="172"/>
      <c r="K329" s="172"/>
      <c r="L329" s="172"/>
      <c r="M329" s="172"/>
      <c r="N329" s="172"/>
      <c r="O329" s="86"/>
      <c r="P329" s="86"/>
    </row>
    <row r="330" spans="1:16" s="142" customFormat="1" ht="15">
      <c r="A330" s="120"/>
      <c r="B330" s="213"/>
      <c r="C330" s="86"/>
      <c r="D330" s="120"/>
      <c r="E330" s="120"/>
      <c r="F330" s="172"/>
      <c r="G330" s="172"/>
      <c r="H330" s="172"/>
      <c r="I330" s="172"/>
      <c r="J330" s="172"/>
      <c r="K330" s="172"/>
      <c r="L330" s="172"/>
      <c r="M330" s="172"/>
      <c r="N330" s="172"/>
      <c r="O330" s="86"/>
      <c r="P330" s="86"/>
    </row>
    <row r="331" spans="1:16" s="142" customFormat="1" ht="15">
      <c r="A331" s="120"/>
      <c r="B331" s="213"/>
      <c r="C331" s="86"/>
      <c r="D331" s="120"/>
      <c r="E331" s="120"/>
      <c r="F331" s="172"/>
      <c r="G331" s="172"/>
      <c r="H331" s="172"/>
      <c r="I331" s="172"/>
      <c r="J331" s="172"/>
      <c r="K331" s="172"/>
      <c r="L331" s="172"/>
      <c r="M331" s="172"/>
      <c r="N331" s="172"/>
      <c r="O331" s="86"/>
      <c r="P331" s="86"/>
    </row>
    <row r="332" spans="1:16" s="142" customFormat="1" ht="15">
      <c r="A332" s="120"/>
      <c r="B332" s="213"/>
      <c r="C332" s="86"/>
      <c r="D332" s="120"/>
      <c r="E332" s="120"/>
      <c r="F332" s="172"/>
      <c r="G332" s="172"/>
      <c r="H332" s="172"/>
      <c r="I332" s="172"/>
      <c r="J332" s="172"/>
      <c r="K332" s="172"/>
      <c r="L332" s="172"/>
      <c r="M332" s="172"/>
      <c r="N332" s="172"/>
      <c r="O332" s="86"/>
      <c r="P332" s="86"/>
    </row>
    <row r="333" spans="1:16" s="142" customFormat="1" ht="15">
      <c r="A333" s="120"/>
      <c r="B333" s="213"/>
      <c r="C333" s="86"/>
      <c r="D333" s="120"/>
      <c r="E333" s="120"/>
      <c r="F333" s="172"/>
      <c r="G333" s="172"/>
      <c r="H333" s="172"/>
      <c r="I333" s="172"/>
      <c r="J333" s="172"/>
      <c r="K333" s="172"/>
      <c r="L333" s="172"/>
      <c r="M333" s="172"/>
      <c r="N333" s="172"/>
      <c r="O333" s="86"/>
      <c r="P333" s="86"/>
    </row>
    <row r="334" spans="1:16" s="142" customFormat="1" ht="15">
      <c r="A334" s="120"/>
      <c r="B334" s="213"/>
      <c r="C334" s="86"/>
      <c r="D334" s="120"/>
      <c r="E334" s="120"/>
      <c r="F334" s="172"/>
      <c r="G334" s="172"/>
      <c r="H334" s="172"/>
      <c r="I334" s="172"/>
      <c r="J334" s="172"/>
      <c r="K334" s="172"/>
      <c r="L334" s="172"/>
      <c r="M334" s="172"/>
      <c r="N334" s="172"/>
      <c r="O334" s="86"/>
      <c r="P334" s="86"/>
    </row>
    <row r="335" spans="1:16" s="142" customFormat="1" ht="15">
      <c r="A335" s="120"/>
      <c r="B335" s="213"/>
      <c r="C335" s="86"/>
      <c r="D335" s="120"/>
      <c r="E335" s="120"/>
      <c r="F335" s="172"/>
      <c r="G335" s="172"/>
      <c r="H335" s="172"/>
      <c r="I335" s="172"/>
      <c r="J335" s="172"/>
      <c r="K335" s="172"/>
      <c r="L335" s="172"/>
      <c r="M335" s="172"/>
      <c r="N335" s="172"/>
      <c r="O335" s="86"/>
      <c r="P335" s="86"/>
    </row>
    <row r="336" spans="1:16" s="142" customFormat="1" ht="15">
      <c r="A336" s="120"/>
      <c r="B336" s="213"/>
      <c r="C336" s="86"/>
      <c r="D336" s="120"/>
      <c r="E336" s="120"/>
      <c r="F336" s="172"/>
      <c r="G336" s="172"/>
      <c r="H336" s="172"/>
      <c r="I336" s="172"/>
      <c r="J336" s="172"/>
      <c r="K336" s="172"/>
      <c r="L336" s="172"/>
      <c r="M336" s="172"/>
      <c r="N336" s="172"/>
      <c r="O336" s="86"/>
      <c r="P336" s="86"/>
    </row>
    <row r="337" spans="1:16" s="142" customFormat="1" ht="15">
      <c r="A337" s="120"/>
      <c r="B337" s="213"/>
      <c r="C337" s="86"/>
      <c r="D337" s="120"/>
      <c r="E337" s="120"/>
      <c r="F337" s="172"/>
      <c r="G337" s="172"/>
      <c r="H337" s="172"/>
      <c r="I337" s="172"/>
      <c r="J337" s="172"/>
      <c r="K337" s="172"/>
      <c r="L337" s="172"/>
      <c r="M337" s="172"/>
      <c r="N337" s="172"/>
      <c r="O337" s="86"/>
      <c r="P337" s="86"/>
    </row>
    <row r="338" spans="1:16" s="142" customFormat="1" ht="15">
      <c r="A338" s="120"/>
      <c r="B338" s="213"/>
      <c r="C338" s="86"/>
      <c r="D338" s="120"/>
      <c r="E338" s="120"/>
      <c r="F338" s="172"/>
      <c r="G338" s="172"/>
      <c r="H338" s="172"/>
      <c r="I338" s="172"/>
      <c r="J338" s="172"/>
      <c r="K338" s="172"/>
      <c r="L338" s="172"/>
      <c r="M338" s="172"/>
      <c r="N338" s="172"/>
      <c r="O338" s="86"/>
      <c r="P338" s="86"/>
    </row>
    <row r="339" spans="1:16" s="142" customFormat="1" ht="15">
      <c r="A339" s="120"/>
      <c r="B339" s="213"/>
      <c r="C339" s="86"/>
      <c r="D339" s="120"/>
      <c r="E339" s="120"/>
      <c r="F339" s="172"/>
      <c r="G339" s="172"/>
      <c r="H339" s="172"/>
      <c r="I339" s="172"/>
      <c r="J339" s="172"/>
      <c r="K339" s="172"/>
      <c r="L339" s="172"/>
      <c r="M339" s="172"/>
      <c r="N339" s="172"/>
      <c r="O339" s="86"/>
      <c r="P339" s="86"/>
    </row>
    <row r="340" spans="1:16" s="142" customFormat="1" ht="15">
      <c r="A340" s="120"/>
      <c r="B340" s="213"/>
      <c r="C340" s="86"/>
      <c r="D340" s="120"/>
      <c r="E340" s="120"/>
      <c r="F340" s="172"/>
      <c r="G340" s="172"/>
      <c r="H340" s="172"/>
      <c r="I340" s="172"/>
      <c r="J340" s="172"/>
      <c r="K340" s="172"/>
      <c r="L340" s="172"/>
      <c r="M340" s="172"/>
      <c r="N340" s="172"/>
      <c r="O340" s="86"/>
      <c r="P340" s="86"/>
    </row>
    <row r="341" spans="1:16" s="142" customFormat="1" ht="15">
      <c r="A341" s="120"/>
      <c r="B341" s="213"/>
      <c r="C341" s="86"/>
      <c r="D341" s="120"/>
      <c r="E341" s="120"/>
      <c r="F341" s="172"/>
      <c r="G341" s="172"/>
      <c r="H341" s="172"/>
      <c r="I341" s="172"/>
      <c r="J341" s="172"/>
      <c r="K341" s="172"/>
      <c r="L341" s="172"/>
      <c r="M341" s="172"/>
      <c r="N341" s="172"/>
      <c r="O341" s="86"/>
      <c r="P341" s="86"/>
    </row>
    <row r="342" spans="1:16" s="142" customFormat="1" ht="15">
      <c r="A342" s="120"/>
      <c r="B342" s="213"/>
      <c r="C342" s="86"/>
      <c r="D342" s="120"/>
      <c r="E342" s="120"/>
      <c r="F342" s="172"/>
      <c r="G342" s="172"/>
      <c r="H342" s="172"/>
      <c r="I342" s="172"/>
      <c r="J342" s="172"/>
      <c r="K342" s="172"/>
      <c r="L342" s="172"/>
      <c r="M342" s="172"/>
      <c r="N342" s="172"/>
      <c r="O342" s="86"/>
      <c r="P342" s="86"/>
    </row>
    <row r="343" spans="1:16" s="142" customFormat="1" ht="15">
      <c r="A343" s="120"/>
      <c r="B343" s="213"/>
      <c r="C343" s="86"/>
      <c r="D343" s="120"/>
      <c r="E343" s="120"/>
      <c r="F343" s="172"/>
      <c r="G343" s="172"/>
      <c r="H343" s="172"/>
      <c r="I343" s="172"/>
      <c r="J343" s="172"/>
      <c r="K343" s="172"/>
      <c r="L343" s="172"/>
      <c r="M343" s="172"/>
      <c r="N343" s="172"/>
      <c r="O343" s="86"/>
      <c r="P343" s="86"/>
    </row>
    <row r="344" spans="1:16" s="142" customFormat="1" ht="15">
      <c r="A344" s="120"/>
      <c r="B344" s="213"/>
      <c r="C344" s="86"/>
      <c r="D344" s="120"/>
      <c r="E344" s="120"/>
      <c r="F344" s="172"/>
      <c r="G344" s="172"/>
      <c r="H344" s="172"/>
      <c r="I344" s="172"/>
      <c r="J344" s="172"/>
      <c r="K344" s="172"/>
      <c r="L344" s="172"/>
      <c r="M344" s="172"/>
      <c r="N344" s="172"/>
      <c r="O344" s="86"/>
      <c r="P344" s="86"/>
    </row>
    <row r="345" spans="1:16" s="142" customFormat="1" ht="15">
      <c r="A345" s="120"/>
      <c r="B345" s="213"/>
      <c r="C345" s="86"/>
      <c r="D345" s="120"/>
      <c r="E345" s="120"/>
      <c r="F345" s="172"/>
      <c r="G345" s="172"/>
      <c r="H345" s="172"/>
      <c r="I345" s="172"/>
      <c r="J345" s="172"/>
      <c r="K345" s="172"/>
      <c r="L345" s="172"/>
      <c r="M345" s="172"/>
      <c r="N345" s="172"/>
      <c r="O345" s="86"/>
      <c r="P345" s="86"/>
    </row>
    <row r="346" spans="1:16" s="142" customFormat="1" ht="15">
      <c r="A346" s="120"/>
      <c r="B346" s="213"/>
      <c r="C346" s="86"/>
      <c r="D346" s="120"/>
      <c r="E346" s="120"/>
      <c r="F346" s="172"/>
      <c r="G346" s="172"/>
      <c r="H346" s="172"/>
      <c r="I346" s="172"/>
      <c r="J346" s="172"/>
      <c r="K346" s="172"/>
      <c r="L346" s="172"/>
      <c r="M346" s="172"/>
      <c r="N346" s="172"/>
      <c r="O346" s="86"/>
      <c r="P346" s="86"/>
    </row>
    <row r="347" spans="1:16" s="142" customFormat="1" ht="15">
      <c r="A347" s="120"/>
      <c r="B347" s="213"/>
      <c r="C347" s="86"/>
      <c r="D347" s="120"/>
      <c r="E347" s="120"/>
      <c r="F347" s="172"/>
      <c r="G347" s="172"/>
      <c r="H347" s="172"/>
      <c r="I347" s="172"/>
      <c r="J347" s="172"/>
      <c r="K347" s="172"/>
      <c r="L347" s="172"/>
      <c r="M347" s="172"/>
      <c r="N347" s="172"/>
      <c r="O347" s="86"/>
      <c r="P347" s="86"/>
    </row>
    <row r="348" spans="1:16" s="142" customFormat="1" ht="15">
      <c r="A348" s="120"/>
      <c r="B348" s="213"/>
      <c r="C348" s="86"/>
      <c r="D348" s="120"/>
      <c r="E348" s="120"/>
      <c r="F348" s="172"/>
      <c r="G348" s="172"/>
      <c r="H348" s="172"/>
      <c r="I348" s="172"/>
      <c r="J348" s="172"/>
      <c r="K348" s="172"/>
      <c r="L348" s="172"/>
      <c r="M348" s="172"/>
      <c r="N348" s="172"/>
      <c r="O348" s="86"/>
      <c r="P348" s="86"/>
    </row>
    <row r="349" spans="1:16" s="142" customFormat="1" ht="15">
      <c r="A349" s="120"/>
      <c r="B349" s="213"/>
      <c r="C349" s="86"/>
      <c r="D349" s="120"/>
      <c r="E349" s="120"/>
      <c r="F349" s="172"/>
      <c r="G349" s="172"/>
      <c r="H349" s="172"/>
      <c r="I349" s="172"/>
      <c r="J349" s="172"/>
      <c r="K349" s="172"/>
      <c r="L349" s="172"/>
      <c r="M349" s="172"/>
      <c r="N349" s="172"/>
      <c r="O349" s="86"/>
      <c r="P349" s="86"/>
    </row>
    <row r="350" spans="1:16" s="142" customFormat="1" ht="15">
      <c r="A350" s="120"/>
      <c r="B350" s="213"/>
      <c r="C350" s="86"/>
      <c r="D350" s="120"/>
      <c r="E350" s="120"/>
      <c r="F350" s="172"/>
      <c r="G350" s="172"/>
      <c r="H350" s="172"/>
      <c r="I350" s="172"/>
      <c r="J350" s="172"/>
      <c r="K350" s="172"/>
      <c r="L350" s="172"/>
      <c r="M350" s="172"/>
      <c r="N350" s="172"/>
      <c r="O350" s="86"/>
      <c r="P350" s="86"/>
    </row>
    <row r="351" spans="1:16" s="142" customFormat="1" ht="15">
      <c r="A351" s="120"/>
      <c r="B351" s="213"/>
      <c r="C351" s="86"/>
      <c r="D351" s="120"/>
      <c r="E351" s="120"/>
      <c r="F351" s="172"/>
      <c r="G351" s="172"/>
      <c r="H351" s="172"/>
      <c r="I351" s="172"/>
      <c r="J351" s="172"/>
      <c r="K351" s="172"/>
      <c r="L351" s="172"/>
      <c r="M351" s="172"/>
      <c r="N351" s="172"/>
      <c r="O351" s="86"/>
      <c r="P351" s="86"/>
    </row>
    <row r="352" spans="1:16" s="142" customFormat="1" ht="15">
      <c r="A352" s="120"/>
      <c r="B352" s="213"/>
      <c r="C352" s="86"/>
      <c r="D352" s="120"/>
      <c r="E352" s="120"/>
      <c r="F352" s="172"/>
      <c r="G352" s="172"/>
      <c r="H352" s="172"/>
      <c r="I352" s="172"/>
      <c r="J352" s="172"/>
      <c r="K352" s="172"/>
      <c r="L352" s="172"/>
      <c r="M352" s="172"/>
      <c r="N352" s="172"/>
      <c r="O352" s="86"/>
      <c r="P352" s="86"/>
    </row>
    <row r="353" spans="1:16" s="142" customFormat="1" ht="15">
      <c r="A353" s="120"/>
      <c r="B353" s="213"/>
      <c r="C353" s="86"/>
      <c r="D353" s="120"/>
      <c r="E353" s="120"/>
      <c r="F353" s="172"/>
      <c r="G353" s="172"/>
      <c r="H353" s="172"/>
      <c r="I353" s="172"/>
      <c r="J353" s="172"/>
      <c r="K353" s="172"/>
      <c r="L353" s="172"/>
      <c r="M353" s="172"/>
      <c r="N353" s="172"/>
      <c r="O353" s="86"/>
      <c r="P353" s="86"/>
    </row>
    <row r="354" spans="1:16" s="142" customFormat="1" ht="15">
      <c r="A354" s="120"/>
      <c r="B354" s="213"/>
      <c r="C354" s="86"/>
      <c r="D354" s="120"/>
      <c r="E354" s="120"/>
      <c r="F354" s="172"/>
      <c r="G354" s="172"/>
      <c r="H354" s="172"/>
      <c r="I354" s="172"/>
      <c r="J354" s="172"/>
      <c r="K354" s="172"/>
      <c r="L354" s="172"/>
      <c r="M354" s="172"/>
      <c r="N354" s="172"/>
      <c r="O354" s="86"/>
      <c r="P354" s="86"/>
    </row>
    <row r="355" spans="1:16" s="142" customFormat="1" ht="15">
      <c r="A355" s="120"/>
      <c r="B355" s="213"/>
      <c r="C355" s="86"/>
      <c r="D355" s="120"/>
      <c r="E355" s="120"/>
      <c r="F355" s="172"/>
      <c r="G355" s="172"/>
      <c r="H355" s="172"/>
      <c r="I355" s="172"/>
      <c r="J355" s="172"/>
      <c r="K355" s="172"/>
      <c r="L355" s="172"/>
      <c r="M355" s="172"/>
      <c r="N355" s="172"/>
      <c r="O355" s="86"/>
      <c r="P355" s="86"/>
    </row>
    <row r="356" spans="1:16" s="142" customFormat="1" ht="15">
      <c r="A356" s="120"/>
      <c r="B356" s="213"/>
      <c r="C356" s="86"/>
      <c r="D356" s="120"/>
      <c r="E356" s="120"/>
      <c r="F356" s="172"/>
      <c r="G356" s="172"/>
      <c r="H356" s="172"/>
      <c r="I356" s="172"/>
      <c r="J356" s="172"/>
      <c r="K356" s="172"/>
      <c r="L356" s="172"/>
      <c r="M356" s="172"/>
      <c r="N356" s="172"/>
      <c r="O356" s="86"/>
      <c r="P356" s="86"/>
    </row>
    <row r="357" spans="1:16" s="142" customFormat="1" ht="15">
      <c r="A357" s="120"/>
      <c r="B357" s="213"/>
      <c r="C357" s="86"/>
      <c r="D357" s="120"/>
      <c r="E357" s="120"/>
      <c r="F357" s="172"/>
      <c r="G357" s="172"/>
      <c r="H357" s="172"/>
      <c r="I357" s="172"/>
      <c r="J357" s="172"/>
      <c r="K357" s="172"/>
      <c r="L357" s="172"/>
      <c r="M357" s="172"/>
      <c r="N357" s="172"/>
      <c r="O357" s="86"/>
      <c r="P357" s="86"/>
    </row>
  </sheetData>
  <sheetProtection/>
  <autoFilter ref="A9:O208"/>
  <mergeCells count="14">
    <mergeCell ref="D7:D8"/>
    <mergeCell ref="E7:E8"/>
    <mergeCell ref="F7:F8"/>
    <mergeCell ref="H7:I7"/>
    <mergeCell ref="J7:K7"/>
    <mergeCell ref="L7:M7"/>
    <mergeCell ref="N7:N8"/>
    <mergeCell ref="H213:J213"/>
    <mergeCell ref="A1:N1"/>
    <mergeCell ref="A3:N3"/>
    <mergeCell ref="A5:N5"/>
    <mergeCell ref="A7:A8"/>
    <mergeCell ref="B7:B8"/>
    <mergeCell ref="C7:C8"/>
  </mergeCells>
  <printOptions horizontalCentered="1"/>
  <pageMargins left="0.11811023622047245" right="0.11811023622047245" top="0.3937007874015748" bottom="0.3937007874015748" header="0.4330708661417323" footer="0.07874015748031496"/>
  <pageSetup cellComments="asDisplayed" firstPageNumber="1" useFirstPageNumber="1" horizontalDpi="600" verticalDpi="600" orientation="landscape" paperSize="9" scale="85" r:id="rId1"/>
  <headerFooter alignWithMargins="0"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B2:G34"/>
  <sheetViews>
    <sheetView zoomScale="70" zoomScaleNormal="70" zoomScalePageLayoutView="0" workbookViewId="0" topLeftCell="A1">
      <selection activeCell="F27" sqref="F27"/>
    </sheetView>
  </sheetViews>
  <sheetFormatPr defaultColWidth="9.140625" defaultRowHeight="12.75"/>
  <cols>
    <col min="2" max="2" width="75.57421875" style="0" bestFit="1" customWidth="1"/>
    <col min="3" max="4" width="11.28125" style="0" bestFit="1" customWidth="1"/>
    <col min="5" max="5" width="13.7109375" style="0" bestFit="1" customWidth="1"/>
    <col min="6" max="6" width="13.8515625" style="0" bestFit="1" customWidth="1"/>
    <col min="7" max="7" width="12.421875" style="0" bestFit="1" customWidth="1"/>
  </cols>
  <sheetData>
    <row r="1" ht="13.5" thickBot="1"/>
    <row r="2" spans="2:7" ht="53.25" customHeight="1">
      <c r="B2" s="627" t="s">
        <v>829</v>
      </c>
      <c r="C2" s="628" t="s">
        <v>851</v>
      </c>
      <c r="D2" s="629" t="s">
        <v>53</v>
      </c>
      <c r="E2" s="630" t="s">
        <v>853</v>
      </c>
      <c r="F2" s="631" t="s">
        <v>852</v>
      </c>
      <c r="G2" s="632" t="s">
        <v>358</v>
      </c>
    </row>
    <row r="3" spans="2:7" ht="14.25">
      <c r="B3" s="618" t="s">
        <v>830</v>
      </c>
      <c r="C3" s="613" t="s">
        <v>356</v>
      </c>
      <c r="D3" s="614">
        <v>4</v>
      </c>
      <c r="E3" s="615"/>
      <c r="F3" s="616"/>
      <c r="G3" s="619"/>
    </row>
    <row r="4" spans="2:7" ht="14.25">
      <c r="B4" s="618" t="s">
        <v>831</v>
      </c>
      <c r="C4" s="613" t="s">
        <v>92</v>
      </c>
      <c r="D4" s="614">
        <v>23</v>
      </c>
      <c r="E4" s="615"/>
      <c r="F4" s="616"/>
      <c r="G4" s="619"/>
    </row>
    <row r="5" spans="2:7" ht="14.25">
      <c r="B5" s="618" t="s">
        <v>832</v>
      </c>
      <c r="C5" s="613" t="s">
        <v>92</v>
      </c>
      <c r="D5" s="614">
        <v>23</v>
      </c>
      <c r="E5" s="615"/>
      <c r="F5" s="616"/>
      <c r="G5" s="619"/>
    </row>
    <row r="6" spans="2:7" ht="14.25">
      <c r="B6" s="618" t="s">
        <v>833</v>
      </c>
      <c r="C6" s="613" t="s">
        <v>92</v>
      </c>
      <c r="D6" s="614">
        <v>23</v>
      </c>
      <c r="E6" s="615"/>
      <c r="F6" s="616"/>
      <c r="G6" s="619"/>
    </row>
    <row r="7" spans="2:7" ht="14.25">
      <c r="B7" s="618" t="s">
        <v>834</v>
      </c>
      <c r="C7" s="613" t="s">
        <v>92</v>
      </c>
      <c r="D7" s="614">
        <v>25</v>
      </c>
      <c r="E7" s="615"/>
      <c r="F7" s="616"/>
      <c r="G7" s="619"/>
    </row>
    <row r="8" spans="2:7" ht="14.25">
      <c r="B8" s="618" t="s">
        <v>824</v>
      </c>
      <c r="C8" s="613" t="s">
        <v>92</v>
      </c>
      <c r="D8" s="614">
        <v>23</v>
      </c>
      <c r="E8" s="615"/>
      <c r="F8" s="616"/>
      <c r="G8" s="619"/>
    </row>
    <row r="9" spans="2:7" ht="14.25">
      <c r="B9" s="618" t="s">
        <v>835</v>
      </c>
      <c r="C9" s="613" t="s">
        <v>92</v>
      </c>
      <c r="D9" s="614">
        <v>8</v>
      </c>
      <c r="E9" s="615"/>
      <c r="F9" s="616"/>
      <c r="G9" s="619"/>
    </row>
    <row r="10" spans="2:7" ht="14.25">
      <c r="B10" s="618" t="s">
        <v>836</v>
      </c>
      <c r="C10" s="613" t="s">
        <v>92</v>
      </c>
      <c r="D10" s="614">
        <v>1</v>
      </c>
      <c r="E10" s="615"/>
      <c r="F10" s="616"/>
      <c r="G10" s="619"/>
    </row>
    <row r="11" spans="2:7" ht="14.25">
      <c r="B11" s="618" t="s">
        <v>837</v>
      </c>
      <c r="C11" s="613" t="s">
        <v>92</v>
      </c>
      <c r="D11" s="614">
        <v>6</v>
      </c>
      <c r="E11" s="615" t="s">
        <v>825</v>
      </c>
      <c r="F11" s="616"/>
      <c r="G11" s="619"/>
    </row>
    <row r="12" spans="2:7" ht="14.25">
      <c r="B12" s="618" t="s">
        <v>838</v>
      </c>
      <c r="C12" s="613" t="s">
        <v>92</v>
      </c>
      <c r="D12" s="614">
        <v>1</v>
      </c>
      <c r="E12" s="615" t="s">
        <v>826</v>
      </c>
      <c r="F12" s="616"/>
      <c r="G12" s="619"/>
    </row>
    <row r="13" spans="2:7" ht="14.25">
      <c r="B13" s="618" t="s">
        <v>839</v>
      </c>
      <c r="C13" s="613" t="s">
        <v>92</v>
      </c>
      <c r="D13" s="614">
        <v>1</v>
      </c>
      <c r="E13" s="615" t="s">
        <v>826</v>
      </c>
      <c r="F13" s="616"/>
      <c r="G13" s="619"/>
    </row>
    <row r="14" spans="2:7" ht="14.25">
      <c r="B14" s="618" t="s">
        <v>840</v>
      </c>
      <c r="C14" s="613" t="s">
        <v>92</v>
      </c>
      <c r="D14" s="614">
        <v>1</v>
      </c>
      <c r="E14" s="615" t="s">
        <v>826</v>
      </c>
      <c r="F14" s="616"/>
      <c r="G14" s="619"/>
    </row>
    <row r="15" spans="2:7" ht="14.25">
      <c r="B15" s="633" t="s">
        <v>841</v>
      </c>
      <c r="C15" s="617" t="s">
        <v>92</v>
      </c>
      <c r="D15" s="617">
        <v>12</v>
      </c>
      <c r="E15" s="615" t="s">
        <v>827</v>
      </c>
      <c r="F15" s="616"/>
      <c r="G15" s="619"/>
    </row>
    <row r="16" spans="2:7" ht="14.25">
      <c r="B16" s="618" t="s">
        <v>842</v>
      </c>
      <c r="C16" s="617" t="s">
        <v>92</v>
      </c>
      <c r="D16" s="617">
        <v>69</v>
      </c>
      <c r="E16" s="615"/>
      <c r="F16" s="616"/>
      <c r="G16" s="619"/>
    </row>
    <row r="17" spans="2:7" ht="33" customHeight="1">
      <c r="B17" s="692" t="s">
        <v>856</v>
      </c>
      <c r="C17" s="693"/>
      <c r="D17" s="693"/>
      <c r="E17" s="693"/>
      <c r="F17" s="693"/>
      <c r="G17" s="694"/>
    </row>
    <row r="18" spans="2:7" ht="14.25">
      <c r="B18" s="618" t="s">
        <v>843</v>
      </c>
      <c r="C18" s="613" t="s">
        <v>857</v>
      </c>
      <c r="D18" s="614">
        <v>110</v>
      </c>
      <c r="E18" s="615"/>
      <c r="F18" s="616"/>
      <c r="G18" s="619"/>
    </row>
    <row r="19" spans="2:7" ht="14.25">
      <c r="B19" s="618" t="s">
        <v>844</v>
      </c>
      <c r="C19" s="613" t="s">
        <v>92</v>
      </c>
      <c r="D19" s="614">
        <v>3</v>
      </c>
      <c r="E19" s="615"/>
      <c r="F19" s="616"/>
      <c r="G19" s="619"/>
    </row>
    <row r="20" spans="2:7" ht="14.25">
      <c r="B20" s="633" t="s">
        <v>854</v>
      </c>
      <c r="C20" s="613" t="s">
        <v>356</v>
      </c>
      <c r="D20" s="614">
        <v>1</v>
      </c>
      <c r="E20" s="615"/>
      <c r="F20" s="616"/>
      <c r="G20" s="619"/>
    </row>
    <row r="21" spans="2:7" ht="18" customHeight="1">
      <c r="B21" s="633" t="s">
        <v>855</v>
      </c>
      <c r="C21" s="613" t="s">
        <v>857</v>
      </c>
      <c r="D21" s="614">
        <v>30</v>
      </c>
      <c r="E21" s="615"/>
      <c r="F21" s="616"/>
      <c r="G21" s="619"/>
    </row>
    <row r="22" spans="2:7" ht="14.25">
      <c r="B22" s="618" t="s">
        <v>845</v>
      </c>
      <c r="C22" s="613" t="s">
        <v>356</v>
      </c>
      <c r="D22" s="614">
        <v>1</v>
      </c>
      <c r="E22" s="615"/>
      <c r="F22" s="616"/>
      <c r="G22" s="619"/>
    </row>
    <row r="23" spans="2:7" ht="14.25">
      <c r="B23" s="620" t="s">
        <v>846</v>
      </c>
      <c r="C23" s="613" t="s">
        <v>92</v>
      </c>
      <c r="D23" s="614">
        <v>2</v>
      </c>
      <c r="E23" s="615"/>
      <c r="F23" s="616"/>
      <c r="G23" s="619"/>
    </row>
    <row r="24" spans="2:7" ht="14.25">
      <c r="B24" s="620" t="s">
        <v>847</v>
      </c>
      <c r="C24" s="613" t="s">
        <v>92</v>
      </c>
      <c r="D24" s="614">
        <v>1</v>
      </c>
      <c r="E24" s="615"/>
      <c r="F24" s="616"/>
      <c r="G24" s="619"/>
    </row>
    <row r="25" spans="2:7" ht="14.25">
      <c r="B25" s="620" t="s">
        <v>831</v>
      </c>
      <c r="C25" s="613" t="s">
        <v>92</v>
      </c>
      <c r="D25" s="614">
        <v>6</v>
      </c>
      <c r="E25" s="615"/>
      <c r="F25" s="616"/>
      <c r="G25" s="619"/>
    </row>
    <row r="26" spans="2:7" ht="14.25">
      <c r="B26" s="620" t="s">
        <v>848</v>
      </c>
      <c r="C26" s="613" t="s">
        <v>92</v>
      </c>
      <c r="D26" s="614">
        <v>6</v>
      </c>
      <c r="E26" s="615"/>
      <c r="F26" s="616"/>
      <c r="G26" s="619"/>
    </row>
    <row r="27" spans="2:7" ht="14.25">
      <c r="B27" s="620" t="s">
        <v>849</v>
      </c>
      <c r="C27" s="613" t="s">
        <v>92</v>
      </c>
      <c r="D27" s="614">
        <v>4</v>
      </c>
      <c r="E27" s="615"/>
      <c r="F27" s="616"/>
      <c r="G27" s="619"/>
    </row>
    <row r="28" spans="2:7" ht="14.25">
      <c r="B28" s="620" t="s">
        <v>828</v>
      </c>
      <c r="C28" s="613" t="s">
        <v>92</v>
      </c>
      <c r="D28" s="614">
        <v>4</v>
      </c>
      <c r="E28" s="615"/>
      <c r="F28" s="616"/>
      <c r="G28" s="619"/>
    </row>
    <row r="29" spans="2:7" ht="14.25">
      <c r="B29" s="620" t="s">
        <v>850</v>
      </c>
      <c r="C29" s="613" t="s">
        <v>92</v>
      </c>
      <c r="D29" s="614">
        <v>1</v>
      </c>
      <c r="E29" s="615"/>
      <c r="F29" s="616"/>
      <c r="G29" s="619"/>
    </row>
    <row r="30" spans="2:7" ht="14.25">
      <c r="B30" s="618"/>
      <c r="C30" s="613"/>
      <c r="D30" s="614"/>
      <c r="E30" s="615"/>
      <c r="F30" s="616"/>
      <c r="G30" s="619"/>
    </row>
    <row r="31" spans="2:7" ht="14.25">
      <c r="B31" s="618"/>
      <c r="C31" s="613"/>
      <c r="D31" s="614"/>
      <c r="E31" s="615"/>
      <c r="F31" s="616"/>
      <c r="G31" s="619"/>
    </row>
    <row r="32" spans="2:7" ht="14.25">
      <c r="B32" s="618"/>
      <c r="C32" s="613"/>
      <c r="D32" s="614"/>
      <c r="E32" s="615"/>
      <c r="F32" s="616"/>
      <c r="G32" s="619"/>
    </row>
    <row r="33" spans="2:7" ht="14.25">
      <c r="B33" s="618"/>
      <c r="C33" s="613"/>
      <c r="D33" s="614"/>
      <c r="E33" s="615"/>
      <c r="F33" s="616"/>
      <c r="G33" s="619"/>
    </row>
    <row r="34" spans="2:7" ht="15" thickBot="1">
      <c r="B34" s="621"/>
      <c r="C34" s="622"/>
      <c r="D34" s="623"/>
      <c r="E34" s="624"/>
      <c r="F34" s="625"/>
      <c r="G34" s="626"/>
    </row>
  </sheetData>
  <sheetProtection/>
  <mergeCells count="1">
    <mergeCell ref="B17:G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55" zoomScalePageLayoutView="0" workbookViewId="0" topLeftCell="A1">
      <selection activeCell="C15" sqref="C15"/>
    </sheetView>
  </sheetViews>
  <sheetFormatPr defaultColWidth="9.140625" defaultRowHeight="12.75"/>
  <cols>
    <col min="1" max="7" width="9.140625" style="8" customWidth="1"/>
    <col min="8" max="8" width="14.8515625" style="8" customWidth="1"/>
    <col min="9" max="9" width="9.140625" style="8" customWidth="1"/>
    <col min="10" max="10" width="9.421875" style="8" bestFit="1" customWidth="1"/>
    <col min="11" max="11" width="9.140625" style="8" customWidth="1"/>
    <col min="12" max="12" width="13.8515625" style="8" bestFit="1" customWidth="1"/>
    <col min="13" max="13" width="11.7109375" style="8" customWidth="1"/>
    <col min="14" max="16384" width="9.140625" style="8" customWidth="1"/>
  </cols>
  <sheetData>
    <row r="1" spans="1:13" ht="48" customHeight="1">
      <c r="A1" s="668" t="str">
        <f>თავფურცელ!A9</f>
        <v>საბავშვო ბაღის აშენების პროექტი სოფელ იორმუღანლოში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="9" customFormat="1" ht="9.75" customHeight="1"/>
    <row r="3" spans="1:13" s="10" customFormat="1" ht="30" customHeight="1">
      <c r="A3" s="669" t="s">
        <v>43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</row>
    <row r="4" spans="1:13" s="10" customFormat="1" ht="18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7.25" customHeight="1">
      <c r="A5" s="670" t="s">
        <v>44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</row>
    <row r="6" spans="1:13" ht="45" customHeight="1">
      <c r="A6" s="664" t="s">
        <v>163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</row>
    <row r="7" spans="1:13" s="13" customFormat="1" ht="69" customHeight="1">
      <c r="A7" s="671" t="s">
        <v>71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</row>
    <row r="8" spans="1:13" ht="21" customHeight="1">
      <c r="A8" s="663" t="s">
        <v>45</v>
      </c>
      <c r="B8" s="663"/>
      <c r="C8" s="663"/>
      <c r="D8" s="663"/>
      <c r="E8" s="663"/>
      <c r="F8" s="663"/>
      <c r="G8" s="663"/>
      <c r="H8" s="556">
        <f>კრებსიტი!D21</f>
        <v>0</v>
      </c>
      <c r="I8" s="663" t="s">
        <v>46</v>
      </c>
      <c r="J8" s="663"/>
      <c r="K8" s="663"/>
      <c r="L8" s="556">
        <f>კრებსიტი!D20</f>
        <v>0</v>
      </c>
      <c r="M8" s="8" t="s">
        <v>15</v>
      </c>
    </row>
    <row r="9" spans="1:13" ht="54.75" customHeight="1">
      <c r="A9" s="664" t="s">
        <v>47</v>
      </c>
      <c r="B9" s="664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</row>
    <row r="10" spans="1:13" ht="4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54" customHeight="1">
      <c r="A11" s="664" t="s">
        <v>48</v>
      </c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</row>
    <row r="13" ht="15">
      <c r="B13" s="82"/>
    </row>
    <row r="14" spans="1:13" s="15" customFormat="1" ht="18" customHeight="1">
      <c r="A14" s="14"/>
      <c r="B14" s="82"/>
      <c r="H14" s="16"/>
      <c r="I14" s="16"/>
      <c r="J14" s="16"/>
      <c r="M14" s="17"/>
    </row>
    <row r="15" spans="2:7" s="48" customFormat="1" ht="15">
      <c r="B15" s="82"/>
      <c r="D15" s="79"/>
      <c r="E15" s="79"/>
      <c r="G15" s="80"/>
    </row>
    <row r="16" spans="1:9" s="48" customFormat="1" ht="24" customHeight="1">
      <c r="A16" s="665"/>
      <c r="B16" s="665"/>
      <c r="C16" s="666"/>
      <c r="D16" s="666"/>
      <c r="E16" s="666"/>
      <c r="F16" s="666"/>
      <c r="G16" s="667"/>
      <c r="H16" s="667"/>
      <c r="I16" s="667"/>
    </row>
    <row r="17" spans="1:10" ht="15">
      <c r="A17" s="662"/>
      <c r="B17" s="662"/>
      <c r="H17" s="663"/>
      <c r="I17" s="663"/>
      <c r="J17" s="663"/>
    </row>
    <row r="21" ht="15">
      <c r="J21" s="18"/>
    </row>
  </sheetData>
  <sheetProtection/>
  <mergeCells count="14">
    <mergeCell ref="A9:M9"/>
    <mergeCell ref="A1:M1"/>
    <mergeCell ref="A3:M3"/>
    <mergeCell ref="A5:M5"/>
    <mergeCell ref="A6:M6"/>
    <mergeCell ref="A7:M7"/>
    <mergeCell ref="A8:G8"/>
    <mergeCell ref="I8:K8"/>
    <mergeCell ref="A17:B17"/>
    <mergeCell ref="H17:J17"/>
    <mergeCell ref="A11:M11"/>
    <mergeCell ref="A16:B16"/>
    <mergeCell ref="C16:F16"/>
    <mergeCell ref="G16:I16"/>
  </mergeCells>
  <printOptions horizontalCentered="1"/>
  <pageMargins left="0.11811023622047245" right="0.11811023622047245" top="0.5905511811023623" bottom="0.2755905511811024" header="0.4330708661417323" footer="0.11811023622047245"/>
  <pageSetup cellComments="asDisplayed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42"/>
  <sheetViews>
    <sheetView zoomScaleSheetLayoutView="40" zoomScalePageLayoutView="0" workbookViewId="0" topLeftCell="A7">
      <selection activeCell="B16" sqref="B16"/>
    </sheetView>
  </sheetViews>
  <sheetFormatPr defaultColWidth="9.140625" defaultRowHeight="12.75"/>
  <cols>
    <col min="1" max="1" width="8.8515625" style="215" customWidth="1"/>
    <col min="2" max="2" width="57.7109375" style="215" customWidth="1"/>
    <col min="3" max="3" width="13.421875" style="215" customWidth="1"/>
    <col min="4" max="4" width="23.7109375" style="215" customWidth="1"/>
    <col min="5" max="5" width="23.00390625" style="480" hidden="1" customWidth="1"/>
    <col min="6" max="6" width="23.7109375" style="215" customWidth="1"/>
    <col min="7" max="7" width="9.140625" style="215" customWidth="1"/>
    <col min="8" max="8" width="10.7109375" style="215" bestFit="1" customWidth="1"/>
    <col min="9" max="9" width="9.140625" style="215" customWidth="1"/>
    <col min="10" max="10" width="15.00390625" style="215" bestFit="1" customWidth="1"/>
    <col min="11" max="11" width="10.140625" style="215" bestFit="1" customWidth="1"/>
    <col min="12" max="16384" width="9.140625" style="215" customWidth="1"/>
  </cols>
  <sheetData>
    <row r="1" spans="1:11" ht="39" customHeight="1">
      <c r="A1" s="672" t="str">
        <f>თავფურცელ!A9</f>
        <v>საბავშვო ბაღის აშენების პროექტი სოფელ იორმუღანლოში</v>
      </c>
      <c r="B1" s="672"/>
      <c r="C1" s="672"/>
      <c r="D1" s="672"/>
      <c r="E1" s="672"/>
      <c r="F1" s="672"/>
      <c r="G1" s="47"/>
      <c r="H1" s="47"/>
      <c r="I1" s="47"/>
      <c r="J1" s="47"/>
      <c r="K1" s="47"/>
    </row>
    <row r="2" s="49" customFormat="1" ht="9" customHeight="1">
      <c r="E2" s="479"/>
    </row>
    <row r="3" spans="1:6" s="50" customFormat="1" ht="21" customHeight="1">
      <c r="A3" s="673" t="s">
        <v>162</v>
      </c>
      <c r="B3" s="673"/>
      <c r="C3" s="673"/>
      <c r="D3" s="673"/>
      <c r="E3" s="673"/>
      <c r="F3" s="673"/>
    </row>
    <row r="4" ht="12" customHeight="1" thickBot="1"/>
    <row r="5" spans="1:6" ht="39" customHeight="1" thickBot="1" thickTop="1">
      <c r="A5" s="51" t="s">
        <v>0</v>
      </c>
      <c r="B5" s="51" t="s">
        <v>63</v>
      </c>
      <c r="C5" s="51" t="s">
        <v>51</v>
      </c>
      <c r="D5" s="51" t="s">
        <v>64</v>
      </c>
      <c r="E5" s="481" t="s">
        <v>65</v>
      </c>
      <c r="F5" s="51" t="s">
        <v>66</v>
      </c>
    </row>
    <row r="6" spans="1:6" ht="15" customHeight="1" thickBot="1" thickTop="1">
      <c r="A6" s="491">
        <v>1</v>
      </c>
      <c r="B6" s="491">
        <v>2</v>
      </c>
      <c r="C6" s="491">
        <v>3</v>
      </c>
      <c r="D6" s="491">
        <v>4</v>
      </c>
      <c r="E6" s="492">
        <v>5</v>
      </c>
      <c r="F6" s="491">
        <v>5</v>
      </c>
    </row>
    <row r="7" spans="1:11" s="50" customFormat="1" ht="24" customHeight="1" thickTop="1">
      <c r="A7" s="52" t="s">
        <v>9</v>
      </c>
      <c r="B7" s="53" t="s">
        <v>42</v>
      </c>
      <c r="C7" s="53" t="s">
        <v>15</v>
      </c>
      <c r="D7" s="54">
        <f>'სამშენ-მოსაპირკეთ'!N530</f>
        <v>0</v>
      </c>
      <c r="E7" s="482"/>
      <c r="F7" s="54">
        <f>'სამშენ-მოსაპირკეთ'!K524</f>
        <v>0</v>
      </c>
      <c r="H7" s="55"/>
      <c r="K7" s="55"/>
    </row>
    <row r="8" spans="1:6" s="50" customFormat="1" ht="21" customHeight="1">
      <c r="A8" s="52" t="s">
        <v>164</v>
      </c>
      <c r="B8" s="53" t="s">
        <v>166</v>
      </c>
      <c r="C8" s="53" t="s">
        <v>15</v>
      </c>
      <c r="D8" s="54">
        <f>'El-sam.'!N140</f>
        <v>0</v>
      </c>
      <c r="E8" s="482"/>
      <c r="F8" s="54">
        <f>'El-sam.'!K134</f>
        <v>0</v>
      </c>
    </row>
    <row r="9" spans="1:6" s="50" customFormat="1" ht="39" customHeight="1">
      <c r="A9" s="52" t="s">
        <v>165</v>
      </c>
      <c r="B9" s="53" t="s">
        <v>625</v>
      </c>
      <c r="C9" s="53" t="s">
        <v>15</v>
      </c>
      <c r="D9" s="54">
        <f>'სუსტი დენები'!N46</f>
        <v>0</v>
      </c>
      <c r="E9" s="482"/>
      <c r="F9" s="54">
        <f>'სუსტი დენები'!K40</f>
        <v>0</v>
      </c>
    </row>
    <row r="10" spans="1:6" s="50" customFormat="1" ht="36" customHeight="1">
      <c r="A10" s="52" t="s">
        <v>167</v>
      </c>
      <c r="B10" s="53" t="s">
        <v>173</v>
      </c>
      <c r="C10" s="53" t="s">
        <v>15</v>
      </c>
      <c r="D10" s="54">
        <f>HVAC!N122</f>
        <v>0</v>
      </c>
      <c r="E10" s="482"/>
      <c r="F10" s="54">
        <f>HVAC!K116</f>
        <v>0</v>
      </c>
    </row>
    <row r="11" spans="1:6" s="50" customFormat="1" ht="39" customHeight="1">
      <c r="A11" s="52" t="s">
        <v>168</v>
      </c>
      <c r="B11" s="53" t="s">
        <v>506</v>
      </c>
      <c r="C11" s="53" t="s">
        <v>15</v>
      </c>
      <c r="D11" s="54">
        <f>'Fire WC'!N98</f>
        <v>0</v>
      </c>
      <c r="E11" s="482"/>
      <c r="F11" s="54">
        <f>'Fire WC'!K92</f>
        <v>0</v>
      </c>
    </row>
    <row r="12" spans="1:6" s="50" customFormat="1" ht="39" customHeight="1">
      <c r="A12" s="52" t="s">
        <v>169</v>
      </c>
      <c r="B12" s="53" t="s">
        <v>550</v>
      </c>
      <c r="C12" s="53" t="s">
        <v>15</v>
      </c>
      <c r="D12" s="54">
        <f>'შიდა WC'!N89</f>
        <v>0</v>
      </c>
      <c r="E12" s="482"/>
      <c r="F12" s="54">
        <f>'შიდა WC'!K83</f>
        <v>0</v>
      </c>
    </row>
    <row r="13" spans="1:6" s="50" customFormat="1" ht="39" customHeight="1">
      <c r="A13" s="52" t="s">
        <v>170</v>
      </c>
      <c r="B13" s="53" t="s">
        <v>172</v>
      </c>
      <c r="C13" s="53" t="s">
        <v>15</v>
      </c>
      <c r="D13" s="54">
        <f>'გარე WC '!N52</f>
        <v>0</v>
      </c>
      <c r="E13" s="482"/>
      <c r="F13" s="54">
        <f>'გარე WC '!K46</f>
        <v>0</v>
      </c>
    </row>
    <row r="14" spans="1:6" s="50" customFormat="1" ht="21" customHeight="1">
      <c r="A14" s="52" t="s">
        <v>171</v>
      </c>
      <c r="B14" s="53" t="s">
        <v>749</v>
      </c>
      <c r="C14" s="53" t="s">
        <v>15</v>
      </c>
      <c r="D14" s="54">
        <f>'გარე სამშენ-მოსაპირკეთ '!N208</f>
        <v>0</v>
      </c>
      <c r="E14" s="482"/>
      <c r="F14" s="54">
        <f>'გარე სამშენ-მოსაპირკეთ '!K202</f>
        <v>0</v>
      </c>
    </row>
    <row r="15" spans="1:6" s="50" customFormat="1" ht="36" customHeight="1">
      <c r="A15" s="52" t="s">
        <v>809</v>
      </c>
      <c r="B15" s="53" t="s">
        <v>829</v>
      </c>
      <c r="C15" s="53" t="s">
        <v>15</v>
      </c>
      <c r="D15" s="482">
        <v>0</v>
      </c>
      <c r="E15" s="482"/>
      <c r="F15" s="482">
        <f>D15*0.2</f>
        <v>0</v>
      </c>
    </row>
    <row r="16" spans="1:11" s="50" customFormat="1" ht="13.5" customHeight="1" thickBot="1">
      <c r="A16" s="52"/>
      <c r="B16" s="53"/>
      <c r="C16" s="53"/>
      <c r="D16" s="54"/>
      <c r="E16" s="482"/>
      <c r="F16" s="54"/>
      <c r="H16" s="55"/>
      <c r="K16" s="55"/>
    </row>
    <row r="17" spans="1:11" s="61" customFormat="1" ht="18" customHeight="1">
      <c r="A17" s="56"/>
      <c r="B17" s="57" t="s">
        <v>59</v>
      </c>
      <c r="C17" s="58"/>
      <c r="D17" s="59">
        <f>SUM(D7:D16)</f>
        <v>0</v>
      </c>
      <c r="E17" s="483">
        <f>SUM(E7:E16)</f>
        <v>0</v>
      </c>
      <c r="F17" s="81">
        <f>SUM(F7:F16)</f>
        <v>0</v>
      </c>
      <c r="G17" s="60"/>
      <c r="H17" s="60"/>
      <c r="I17" s="60"/>
      <c r="K17" s="55"/>
    </row>
    <row r="18" spans="1:11" s="67" customFormat="1" ht="17.25" customHeight="1">
      <c r="A18" s="62"/>
      <c r="B18" s="63" t="s">
        <v>67</v>
      </c>
      <c r="C18" s="440">
        <v>0.05</v>
      </c>
      <c r="D18" s="64">
        <f>D17*C18</f>
        <v>0</v>
      </c>
      <c r="E18" s="484"/>
      <c r="F18" s="65"/>
      <c r="G18" s="66"/>
      <c r="H18" s="66"/>
      <c r="I18" s="66"/>
      <c r="K18" s="55"/>
    </row>
    <row r="19" spans="1:11" s="61" customFormat="1" ht="17.25" customHeight="1">
      <c r="A19" s="62"/>
      <c r="B19" s="68" t="s">
        <v>68</v>
      </c>
      <c r="C19" s="69"/>
      <c r="D19" s="70">
        <f>SUM(D17:D18)</f>
        <v>0</v>
      </c>
      <c r="E19" s="485"/>
      <c r="F19" s="71"/>
      <c r="G19" s="60"/>
      <c r="H19" s="60"/>
      <c r="I19" s="60"/>
      <c r="K19" s="55"/>
    </row>
    <row r="20" spans="1:11" s="67" customFormat="1" ht="17.25" customHeight="1">
      <c r="A20" s="62"/>
      <c r="B20" s="63" t="s">
        <v>69</v>
      </c>
      <c r="C20" s="72">
        <v>0.18</v>
      </c>
      <c r="D20" s="64">
        <f>D19*C20</f>
        <v>0</v>
      </c>
      <c r="E20" s="484"/>
      <c r="F20" s="65"/>
      <c r="G20" s="66"/>
      <c r="H20" s="66"/>
      <c r="I20" s="66"/>
      <c r="K20" s="55"/>
    </row>
    <row r="21" spans="1:11" s="61" customFormat="1" ht="21" customHeight="1" thickBot="1">
      <c r="A21" s="73"/>
      <c r="B21" s="74" t="s">
        <v>70</v>
      </c>
      <c r="C21" s="75"/>
      <c r="D21" s="76">
        <f>SUM(D19:D20)</f>
        <v>0</v>
      </c>
      <c r="E21" s="486"/>
      <c r="F21" s="77"/>
      <c r="G21" s="60"/>
      <c r="H21" s="60"/>
      <c r="I21" s="60"/>
      <c r="K21" s="55"/>
    </row>
    <row r="22" ht="15" customHeight="1"/>
    <row r="23" spans="4:5" ht="15" customHeight="1">
      <c r="D23" s="79"/>
      <c r="E23" s="487"/>
    </row>
    <row r="24" spans="4:5" ht="15" customHeight="1">
      <c r="D24" s="79"/>
      <c r="E24" s="487"/>
    </row>
    <row r="25" spans="1:9" s="15" customFormat="1" ht="24" customHeight="1">
      <c r="A25" s="14"/>
      <c r="B25" s="16"/>
      <c r="C25" s="674"/>
      <c r="D25" s="674"/>
      <c r="E25" s="674"/>
      <c r="I25" s="17"/>
    </row>
    <row r="26" ht="15" customHeight="1"/>
    <row r="27" spans="4:6" ht="15" customHeight="1">
      <c r="D27" s="79"/>
      <c r="E27" s="487"/>
      <c r="F27" s="79"/>
    </row>
    <row r="28" ht="13.5" customHeight="1">
      <c r="F28" s="86"/>
    </row>
    <row r="29" spans="4:6" ht="13.5" customHeight="1">
      <c r="D29" s="487"/>
      <c r="E29" s="487"/>
      <c r="F29" s="172"/>
    </row>
    <row r="30" spans="4:6" ht="13.5" customHeight="1">
      <c r="D30" s="171"/>
      <c r="E30" s="493"/>
      <c r="F30" s="86"/>
    </row>
    <row r="31" spans="4:6" ht="13.5" customHeight="1">
      <c r="D31" s="494"/>
      <c r="E31" s="495"/>
      <c r="F31" s="172"/>
    </row>
    <row r="32" spans="4:6" ht="13.5" customHeight="1">
      <c r="D32" s="23"/>
      <c r="E32" s="496"/>
      <c r="F32" s="86"/>
    </row>
    <row r="33" spans="3:6" ht="18" customHeight="1">
      <c r="C33" s="50"/>
      <c r="D33" s="497"/>
      <c r="E33" s="498"/>
      <c r="F33" s="499"/>
    </row>
    <row r="34" spans="4:5" ht="15">
      <c r="D34" s="80"/>
      <c r="E34" s="500"/>
    </row>
    <row r="35" spans="4:5" ht="15">
      <c r="D35" s="501"/>
      <c r="E35" s="502"/>
    </row>
    <row r="36" spans="4:5" ht="15">
      <c r="D36" s="79"/>
      <c r="E36" s="487"/>
    </row>
    <row r="37" spans="4:5" ht="15">
      <c r="D37" s="78"/>
      <c r="E37" s="503"/>
    </row>
    <row r="42" spans="4:5" ht="15">
      <c r="D42" s="78"/>
      <c r="E42" s="503"/>
    </row>
  </sheetData>
  <sheetProtection/>
  <mergeCells count="3">
    <mergeCell ref="A1:F1"/>
    <mergeCell ref="A3:F3"/>
    <mergeCell ref="C25:E25"/>
  </mergeCells>
  <printOptions horizontalCentered="1"/>
  <pageMargins left="0.11811023622047245" right="0.11811023622047245" top="0.2755905511811024" bottom="0.2362204724409449" header="0.4330708661417323" footer="0.07874015748031496"/>
  <pageSetup cellComments="asDisplayed" firstPageNumber="1" useFirstPageNumber="1" horizontalDpi="600" verticalDpi="600" orientation="landscape" paperSize="9" scale="95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Q679"/>
  <sheetViews>
    <sheetView zoomScaleSheetLayoutView="25" zoomScalePageLayoutView="0" workbookViewId="0" topLeftCell="A1">
      <selection activeCell="G9" sqref="G9"/>
    </sheetView>
  </sheetViews>
  <sheetFormatPr defaultColWidth="9.140625" defaultRowHeight="12.75"/>
  <cols>
    <col min="1" max="1" width="3.8515625" style="121" customWidth="1"/>
    <col min="2" max="2" width="15.00390625" style="213" hidden="1" customWidth="1"/>
    <col min="3" max="3" width="48.8515625" style="86" customWidth="1"/>
    <col min="4" max="4" width="8.7109375" style="120" customWidth="1"/>
    <col min="5" max="5" width="7.7109375" style="121" customWidth="1"/>
    <col min="6" max="6" width="11.00390625" style="172" bestFit="1" customWidth="1"/>
    <col min="7" max="7" width="11.00390625" style="172" customWidth="1"/>
    <col min="8" max="8" width="9.421875" style="172" customWidth="1"/>
    <col min="9" max="9" width="16.7109375" style="172" customWidth="1"/>
    <col min="10" max="10" width="9.421875" style="172" customWidth="1"/>
    <col min="11" max="11" width="12.7109375" style="172" customWidth="1"/>
    <col min="12" max="12" width="9.421875" style="172" customWidth="1"/>
    <col min="13" max="13" width="11.7109375" style="172" customWidth="1"/>
    <col min="14" max="14" width="15.140625" style="171" bestFit="1" customWidth="1"/>
    <col min="15" max="15" width="30.7109375" style="142" customWidth="1"/>
    <col min="16" max="16" width="12.8515625" style="86" customWidth="1"/>
    <col min="17" max="17" width="12.57421875" style="86" customWidth="1"/>
    <col min="18" max="16384" width="9.140625" style="86" customWidth="1"/>
  </cols>
  <sheetData>
    <row r="1" spans="1:15" s="21" customFormat="1" ht="45" customHeight="1">
      <c r="A1" s="679" t="str">
        <f>კრებსიტი!A1</f>
        <v>საბავშვო ბაღის აშენების პროექტი სოფელ იორმუღანლოში</v>
      </c>
      <c r="B1" s="679"/>
      <c r="C1" s="679"/>
      <c r="D1" s="679"/>
      <c r="E1" s="680"/>
      <c r="F1" s="679"/>
      <c r="G1" s="679"/>
      <c r="H1" s="679"/>
      <c r="I1" s="679"/>
      <c r="J1" s="679"/>
      <c r="K1" s="679"/>
      <c r="L1" s="679"/>
      <c r="M1" s="679"/>
      <c r="N1" s="679"/>
      <c r="O1" s="20"/>
    </row>
    <row r="2" spans="1:15" s="21" customFormat="1" ht="9" customHeight="1">
      <c r="A2" s="22"/>
      <c r="B2" s="138"/>
      <c r="C2" s="217"/>
      <c r="D2" s="218"/>
      <c r="E2" s="218"/>
      <c r="F2" s="23"/>
      <c r="G2" s="23"/>
      <c r="H2" s="23"/>
      <c r="I2" s="23"/>
      <c r="J2" s="23"/>
      <c r="K2" s="23"/>
      <c r="L2" s="23"/>
      <c r="M2" s="23"/>
      <c r="N2" s="23"/>
      <c r="O2" s="20"/>
    </row>
    <row r="3" spans="1:15" s="21" customFormat="1" ht="19.5" customHeight="1">
      <c r="A3" s="681" t="s">
        <v>36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20"/>
    </row>
    <row r="4" spans="1:15" s="21" customFormat="1" ht="9" customHeight="1">
      <c r="A4" s="24"/>
      <c r="B4" s="90"/>
      <c r="C4" s="25"/>
      <c r="D4" s="24"/>
      <c r="E4" s="24"/>
      <c r="F4" s="26"/>
      <c r="G4" s="26"/>
      <c r="H4" s="26"/>
      <c r="I4" s="26"/>
      <c r="J4" s="26"/>
      <c r="K4" s="26"/>
      <c r="L4" s="26"/>
      <c r="M4" s="26"/>
      <c r="N4" s="26"/>
      <c r="O4" s="20"/>
    </row>
    <row r="5" spans="1:15" s="27" customFormat="1" ht="18.75" customHeight="1">
      <c r="A5" s="682" t="s">
        <v>42</v>
      </c>
      <c r="B5" s="682"/>
      <c r="C5" s="682"/>
      <c r="D5" s="682"/>
      <c r="E5" s="683"/>
      <c r="F5" s="682"/>
      <c r="G5" s="682"/>
      <c r="H5" s="682"/>
      <c r="I5" s="682"/>
      <c r="J5" s="682"/>
      <c r="K5" s="682"/>
      <c r="L5" s="682"/>
      <c r="M5" s="682"/>
      <c r="N5" s="682"/>
      <c r="O5" s="20"/>
    </row>
    <row r="6" spans="1:15" s="21" customFormat="1" ht="15" customHeight="1" thickBot="1">
      <c r="A6" s="28"/>
      <c r="B6" s="91"/>
      <c r="C6" s="29"/>
      <c r="D6" s="28"/>
      <c r="E6" s="28"/>
      <c r="F6" s="30"/>
      <c r="G6" s="30"/>
      <c r="H6" s="30"/>
      <c r="I6" s="30"/>
      <c r="J6" s="30"/>
      <c r="K6" s="30"/>
      <c r="L6" s="30"/>
      <c r="M6" s="30"/>
      <c r="N6" s="30"/>
      <c r="O6" s="20"/>
    </row>
    <row r="7" spans="1:14" s="31" customFormat="1" ht="36" customHeight="1" thickBot="1" thickTop="1">
      <c r="A7" s="676" t="s">
        <v>0</v>
      </c>
      <c r="B7" s="684" t="s">
        <v>49</v>
      </c>
      <c r="C7" s="675" t="s">
        <v>50</v>
      </c>
      <c r="D7" s="676" t="s">
        <v>51</v>
      </c>
      <c r="E7" s="676" t="s">
        <v>52</v>
      </c>
      <c r="F7" s="677" t="s">
        <v>53</v>
      </c>
      <c r="G7" s="634" t="s">
        <v>853</v>
      </c>
      <c r="H7" s="675" t="s">
        <v>54</v>
      </c>
      <c r="I7" s="675"/>
      <c r="J7" s="675" t="s">
        <v>55</v>
      </c>
      <c r="K7" s="675"/>
      <c r="L7" s="675" t="s">
        <v>56</v>
      </c>
      <c r="M7" s="675"/>
      <c r="N7" s="675" t="s">
        <v>57</v>
      </c>
    </row>
    <row r="8" spans="1:15" s="31" customFormat="1" ht="36" customHeight="1" thickBot="1" thickTop="1">
      <c r="A8" s="676"/>
      <c r="B8" s="684"/>
      <c r="C8" s="675"/>
      <c r="D8" s="676"/>
      <c r="E8" s="676"/>
      <c r="F8" s="677"/>
      <c r="G8" s="634" t="s">
        <v>858</v>
      </c>
      <c r="H8" s="19" t="s">
        <v>58</v>
      </c>
      <c r="I8" s="216" t="s">
        <v>59</v>
      </c>
      <c r="J8" s="19" t="s">
        <v>58</v>
      </c>
      <c r="K8" s="216" t="s">
        <v>59</v>
      </c>
      <c r="L8" s="19" t="s">
        <v>58</v>
      </c>
      <c r="M8" s="216" t="s">
        <v>59</v>
      </c>
      <c r="N8" s="675"/>
      <c r="O8" s="32"/>
    </row>
    <row r="9" spans="1:14" s="31" customFormat="1" ht="14.25" customHeight="1" thickBot="1" thickTop="1">
      <c r="A9" s="33">
        <v>1</v>
      </c>
      <c r="B9" s="92">
        <v>2</v>
      </c>
      <c r="C9" s="34">
        <v>3</v>
      </c>
      <c r="D9" s="35">
        <v>4</v>
      </c>
      <c r="E9" s="35">
        <v>5</v>
      </c>
      <c r="F9" s="36">
        <v>6</v>
      </c>
      <c r="G9" s="36"/>
      <c r="H9" s="37">
        <v>7</v>
      </c>
      <c r="I9" s="37">
        <v>8</v>
      </c>
      <c r="J9" s="37">
        <v>9</v>
      </c>
      <c r="K9" s="37">
        <v>10</v>
      </c>
      <c r="L9" s="37">
        <v>11</v>
      </c>
      <c r="M9" s="37">
        <v>12</v>
      </c>
      <c r="N9" s="37">
        <v>13</v>
      </c>
    </row>
    <row r="10" spans="1:15" s="46" customFormat="1" ht="18" customHeight="1" thickTop="1">
      <c r="A10" s="38" t="s">
        <v>5</v>
      </c>
      <c r="B10" s="93"/>
      <c r="C10" s="39" t="s">
        <v>60</v>
      </c>
      <c r="D10" s="40"/>
      <c r="E10" s="41"/>
      <c r="F10" s="42"/>
      <c r="G10" s="42"/>
      <c r="H10" s="43"/>
      <c r="I10" s="44"/>
      <c r="J10" s="44"/>
      <c r="K10" s="44"/>
      <c r="L10" s="44"/>
      <c r="M10" s="44"/>
      <c r="N10" s="44"/>
      <c r="O10" s="45"/>
    </row>
    <row r="11" spans="1:15" ht="51.75" customHeight="1">
      <c r="A11" s="5">
        <v>1</v>
      </c>
      <c r="B11" s="94" t="s">
        <v>12</v>
      </c>
      <c r="C11" s="68" t="s">
        <v>126</v>
      </c>
      <c r="D11" s="69" t="s">
        <v>73</v>
      </c>
      <c r="E11" s="4"/>
      <c r="F11" s="147">
        <v>2600</v>
      </c>
      <c r="G11" s="147"/>
      <c r="H11" s="83"/>
      <c r="I11" s="84"/>
      <c r="J11" s="83"/>
      <c r="K11" s="84"/>
      <c r="L11" s="83"/>
      <c r="M11" s="84"/>
      <c r="N11" s="84"/>
      <c r="O11" s="85"/>
    </row>
    <row r="12" spans="1:16" ht="18" customHeight="1">
      <c r="A12" s="4"/>
      <c r="B12" s="95"/>
      <c r="C12" s="63" t="s">
        <v>61</v>
      </c>
      <c r="D12" s="5" t="s">
        <v>74</v>
      </c>
      <c r="E12" s="87">
        <v>1</v>
      </c>
      <c r="F12" s="88">
        <f>E12*F11</f>
        <v>2600</v>
      </c>
      <c r="G12" s="88"/>
      <c r="H12" s="83"/>
      <c r="I12" s="84"/>
      <c r="J12" s="83"/>
      <c r="K12" s="84"/>
      <c r="L12" s="83"/>
      <c r="M12" s="84"/>
      <c r="N12" s="84"/>
      <c r="O12" s="85"/>
      <c r="P12" s="89"/>
    </row>
    <row r="13" spans="1:16" ht="18" customHeight="1">
      <c r="A13" s="4"/>
      <c r="B13" s="94"/>
      <c r="C13" s="63" t="s">
        <v>72</v>
      </c>
      <c r="D13" s="5" t="s">
        <v>75</v>
      </c>
      <c r="E13" s="99">
        <f>29.5*0.001</f>
        <v>0.029500000000000002</v>
      </c>
      <c r="F13" s="88">
        <f>F11*E13</f>
        <v>76.7</v>
      </c>
      <c r="G13" s="88"/>
      <c r="H13" s="83"/>
      <c r="I13" s="84"/>
      <c r="J13" s="83"/>
      <c r="K13" s="84"/>
      <c r="L13" s="83"/>
      <c r="M13" s="84"/>
      <c r="N13" s="84"/>
      <c r="O13" s="85"/>
      <c r="P13" s="139"/>
    </row>
    <row r="14" spans="1:14" ht="39" customHeight="1">
      <c r="A14" s="5">
        <f>A11+1</f>
        <v>2</v>
      </c>
      <c r="B14" s="94" t="s">
        <v>3</v>
      </c>
      <c r="C14" s="68" t="s">
        <v>76</v>
      </c>
      <c r="D14" s="69" t="s">
        <v>73</v>
      </c>
      <c r="E14" s="4"/>
      <c r="F14" s="147">
        <f>1700*0.1</f>
        <v>170</v>
      </c>
      <c r="G14" s="147"/>
      <c r="H14" s="83"/>
      <c r="I14" s="84"/>
      <c r="J14" s="83"/>
      <c r="K14" s="84"/>
      <c r="L14" s="83"/>
      <c r="M14" s="84"/>
      <c r="N14" s="84"/>
    </row>
    <row r="15" spans="1:14" ht="18" customHeight="1">
      <c r="A15" s="4"/>
      <c r="B15" s="94"/>
      <c r="C15" s="63" t="s">
        <v>61</v>
      </c>
      <c r="D15" s="5" t="s">
        <v>74</v>
      </c>
      <c r="E15" s="87">
        <v>1</v>
      </c>
      <c r="F15" s="88">
        <f>E15*F14</f>
        <v>170</v>
      </c>
      <c r="G15" s="88"/>
      <c r="H15" s="83"/>
      <c r="I15" s="84"/>
      <c r="J15" s="83"/>
      <c r="K15" s="84"/>
      <c r="L15" s="83"/>
      <c r="M15" s="84"/>
      <c r="N15" s="84"/>
    </row>
    <row r="16" spans="1:14" ht="39" customHeight="1">
      <c r="A16" s="5">
        <f>A14+1</f>
        <v>3</v>
      </c>
      <c r="B16" s="132" t="s">
        <v>38</v>
      </c>
      <c r="C16" s="68" t="s">
        <v>160</v>
      </c>
      <c r="D16" s="69" t="s">
        <v>81</v>
      </c>
      <c r="E16" s="4"/>
      <c r="F16" s="147">
        <f>((F11+F14)-F21)*1.85</f>
        <v>4458.5</v>
      </c>
      <c r="G16" s="147"/>
      <c r="H16" s="83"/>
      <c r="I16" s="84"/>
      <c r="J16" s="83"/>
      <c r="K16" s="84"/>
      <c r="L16" s="83"/>
      <c r="M16" s="84"/>
      <c r="N16" s="84"/>
    </row>
    <row r="17" spans="1:14" ht="18" customHeight="1">
      <c r="A17" s="4"/>
      <c r="B17" s="95"/>
      <c r="C17" s="63" t="s">
        <v>131</v>
      </c>
      <c r="D17" s="5" t="str">
        <f>D16</f>
        <v>ტონა</v>
      </c>
      <c r="E17" s="87">
        <v>1</v>
      </c>
      <c r="F17" s="88">
        <f>F16</f>
        <v>4458.5</v>
      </c>
      <c r="G17" s="88"/>
      <c r="H17" s="83"/>
      <c r="I17" s="84"/>
      <c r="J17" s="83"/>
      <c r="K17" s="84"/>
      <c r="L17" s="83"/>
      <c r="M17" s="84"/>
      <c r="N17" s="84"/>
    </row>
    <row r="18" spans="1:14" ht="24" customHeight="1">
      <c r="A18" s="5">
        <f>A16+1</f>
        <v>4</v>
      </c>
      <c r="B18" s="94" t="s">
        <v>13</v>
      </c>
      <c r="C18" s="68" t="s">
        <v>134</v>
      </c>
      <c r="D18" s="69" t="s">
        <v>73</v>
      </c>
      <c r="E18" s="4"/>
      <c r="F18" s="147">
        <f>F11+F14-F21</f>
        <v>2410</v>
      </c>
      <c r="G18" s="147"/>
      <c r="H18" s="83"/>
      <c r="I18" s="84"/>
      <c r="J18" s="83"/>
      <c r="K18" s="84"/>
      <c r="L18" s="83"/>
      <c r="M18" s="84"/>
      <c r="N18" s="84"/>
    </row>
    <row r="19" spans="1:16" ht="18" customHeight="1">
      <c r="A19" s="4"/>
      <c r="B19" s="95"/>
      <c r="C19" s="63" t="s">
        <v>61</v>
      </c>
      <c r="D19" s="5" t="s">
        <v>74</v>
      </c>
      <c r="E19" s="87">
        <v>1</v>
      </c>
      <c r="F19" s="88">
        <f>E19*F18</f>
        <v>2410</v>
      </c>
      <c r="G19" s="88"/>
      <c r="H19" s="83"/>
      <c r="I19" s="84"/>
      <c r="J19" s="83"/>
      <c r="K19" s="84"/>
      <c r="L19" s="83"/>
      <c r="M19" s="84"/>
      <c r="N19" s="84"/>
      <c r="P19" s="89"/>
    </row>
    <row r="20" spans="1:16" ht="17.25">
      <c r="A20" s="4"/>
      <c r="B20" s="94"/>
      <c r="C20" s="63" t="s">
        <v>72</v>
      </c>
      <c r="D20" s="5" t="s">
        <v>75</v>
      </c>
      <c r="E20" s="98">
        <f>3.62*0.001</f>
        <v>0.0036200000000000004</v>
      </c>
      <c r="F20" s="88">
        <f>F18*E20</f>
        <v>8.724200000000002</v>
      </c>
      <c r="G20" s="88"/>
      <c r="H20" s="83"/>
      <c r="I20" s="84"/>
      <c r="J20" s="83"/>
      <c r="K20" s="84"/>
      <c r="L20" s="83"/>
      <c r="M20" s="84"/>
      <c r="N20" s="84"/>
      <c r="P20" s="139"/>
    </row>
    <row r="21" spans="1:14" ht="21" customHeight="1">
      <c r="A21" s="5">
        <f>A18+1</f>
        <v>5</v>
      </c>
      <c r="B21" s="94" t="s">
        <v>20</v>
      </c>
      <c r="C21" s="68" t="s">
        <v>127</v>
      </c>
      <c r="D21" s="69" t="s">
        <v>73</v>
      </c>
      <c r="E21" s="4"/>
      <c r="F21" s="147">
        <f>2520-2160</f>
        <v>360</v>
      </c>
      <c r="G21" s="147"/>
      <c r="H21" s="83"/>
      <c r="I21" s="84"/>
      <c r="J21" s="83"/>
      <c r="K21" s="84"/>
      <c r="L21" s="83"/>
      <c r="M21" s="84"/>
      <c r="N21" s="84"/>
    </row>
    <row r="22" spans="1:16" ht="18" customHeight="1">
      <c r="A22" s="4"/>
      <c r="B22" s="94" t="s">
        <v>11</v>
      </c>
      <c r="C22" s="63" t="s">
        <v>128</v>
      </c>
      <c r="D22" s="5" t="s">
        <v>75</v>
      </c>
      <c r="E22" s="98">
        <f>5.13/1000</f>
        <v>0.00513</v>
      </c>
      <c r="F22" s="88">
        <f>F21*E22</f>
        <v>1.8468</v>
      </c>
      <c r="G22" s="88"/>
      <c r="H22" s="83"/>
      <c r="I22" s="84"/>
      <c r="J22" s="83"/>
      <c r="K22" s="84"/>
      <c r="L22" s="83"/>
      <c r="M22" s="84"/>
      <c r="N22" s="84"/>
      <c r="P22" s="139"/>
    </row>
    <row r="23" spans="1:14" ht="39" customHeight="1">
      <c r="A23" s="5">
        <f>A21+1</f>
        <v>6</v>
      </c>
      <c r="B23" s="94" t="s">
        <v>14</v>
      </c>
      <c r="C23" s="68" t="s">
        <v>129</v>
      </c>
      <c r="D23" s="69" t="s">
        <v>73</v>
      </c>
      <c r="E23" s="4"/>
      <c r="F23" s="147">
        <f>F21</f>
        <v>360</v>
      </c>
      <c r="G23" s="147"/>
      <c r="H23" s="83"/>
      <c r="I23" s="84"/>
      <c r="J23" s="83"/>
      <c r="K23" s="84"/>
      <c r="L23" s="83"/>
      <c r="M23" s="84"/>
      <c r="N23" s="84"/>
    </row>
    <row r="24" spans="1:16" ht="18" customHeight="1">
      <c r="A24" s="4"/>
      <c r="B24" s="173"/>
      <c r="C24" s="63" t="s">
        <v>61</v>
      </c>
      <c r="D24" s="5" t="s">
        <v>74</v>
      </c>
      <c r="E24" s="87">
        <v>1</v>
      </c>
      <c r="F24" s="88">
        <f>E24*F23</f>
        <v>360</v>
      </c>
      <c r="G24" s="88"/>
      <c r="H24" s="83"/>
      <c r="I24" s="84"/>
      <c r="J24" s="83"/>
      <c r="K24" s="84"/>
      <c r="L24" s="83"/>
      <c r="M24" s="84"/>
      <c r="N24" s="84"/>
      <c r="P24" s="89"/>
    </row>
    <row r="25" spans="1:16" ht="18" customHeight="1">
      <c r="A25" s="4"/>
      <c r="B25" s="94"/>
      <c r="C25" s="63" t="s">
        <v>130</v>
      </c>
      <c r="D25" s="5" t="s">
        <v>75</v>
      </c>
      <c r="E25" s="99">
        <f>13*0.001</f>
        <v>0.013000000000000001</v>
      </c>
      <c r="F25" s="88">
        <f>F23*E25</f>
        <v>4.680000000000001</v>
      </c>
      <c r="G25" s="88"/>
      <c r="H25" s="83"/>
      <c r="I25" s="84"/>
      <c r="J25" s="83"/>
      <c r="K25" s="84"/>
      <c r="L25" s="83"/>
      <c r="M25" s="84"/>
      <c r="N25" s="84"/>
      <c r="P25" s="139"/>
    </row>
    <row r="26" spans="1:16" s="61" customFormat="1" ht="39" customHeight="1">
      <c r="A26" s="5">
        <f>A23+1</f>
        <v>7</v>
      </c>
      <c r="B26" s="94" t="s">
        <v>10</v>
      </c>
      <c r="C26" s="68" t="s">
        <v>135</v>
      </c>
      <c r="D26" s="69" t="s">
        <v>73</v>
      </c>
      <c r="E26" s="100"/>
      <c r="F26" s="147">
        <v>2160</v>
      </c>
      <c r="G26" s="147"/>
      <c r="H26" s="83"/>
      <c r="I26" s="84"/>
      <c r="J26" s="83"/>
      <c r="K26" s="84"/>
      <c r="L26" s="83"/>
      <c r="M26" s="84"/>
      <c r="N26" s="84"/>
      <c r="O26" s="122"/>
      <c r="P26" s="23"/>
    </row>
    <row r="27" spans="1:15" s="67" customFormat="1" ht="18" customHeight="1">
      <c r="A27" s="4"/>
      <c r="B27" s="123"/>
      <c r="C27" s="63" t="s">
        <v>61</v>
      </c>
      <c r="D27" s="5" t="s">
        <v>74</v>
      </c>
      <c r="E27" s="87">
        <v>1</v>
      </c>
      <c r="F27" s="88">
        <f>E27*F26</f>
        <v>2160</v>
      </c>
      <c r="G27" s="88"/>
      <c r="H27" s="83"/>
      <c r="I27" s="84"/>
      <c r="J27" s="83"/>
      <c r="K27" s="84"/>
      <c r="L27" s="83"/>
      <c r="M27" s="84"/>
      <c r="N27" s="84"/>
      <c r="O27" s="124"/>
    </row>
    <row r="28" spans="1:15" s="67" customFormat="1" ht="18" customHeight="1">
      <c r="A28" s="4"/>
      <c r="B28" s="123"/>
      <c r="C28" s="63" t="s">
        <v>136</v>
      </c>
      <c r="D28" s="5" t="s">
        <v>74</v>
      </c>
      <c r="E28" s="101">
        <v>1.15</v>
      </c>
      <c r="F28" s="88">
        <f>E28*F26</f>
        <v>2484</v>
      </c>
      <c r="G28" s="88"/>
      <c r="H28" s="83"/>
      <c r="I28" s="84"/>
      <c r="J28" s="83"/>
      <c r="K28" s="84"/>
      <c r="L28" s="83"/>
      <c r="M28" s="84"/>
      <c r="N28" s="84"/>
      <c r="O28" s="124"/>
    </row>
    <row r="29" spans="1:15" s="67" customFormat="1" ht="18" customHeight="1">
      <c r="A29" s="4"/>
      <c r="B29" s="123"/>
      <c r="C29" s="63" t="s">
        <v>77</v>
      </c>
      <c r="D29" s="5" t="s">
        <v>15</v>
      </c>
      <c r="E29" s="101">
        <v>0.02</v>
      </c>
      <c r="F29" s="88">
        <f>F26*E29</f>
        <v>43.2</v>
      </c>
      <c r="G29" s="88"/>
      <c r="H29" s="83"/>
      <c r="I29" s="84"/>
      <c r="J29" s="83"/>
      <c r="K29" s="84"/>
      <c r="L29" s="83"/>
      <c r="M29" s="84"/>
      <c r="N29" s="84"/>
      <c r="O29" s="124"/>
    </row>
    <row r="30" spans="1:15" s="177" customFormat="1" ht="21" customHeight="1">
      <c r="A30" s="174">
        <f>A26+1</f>
        <v>8</v>
      </c>
      <c r="B30" s="175" t="s">
        <v>10</v>
      </c>
      <c r="C30" s="154" t="s">
        <v>62</v>
      </c>
      <c r="D30" s="69" t="s">
        <v>73</v>
      </c>
      <c r="E30" s="102"/>
      <c r="F30" s="147">
        <v>240</v>
      </c>
      <c r="G30" s="147"/>
      <c r="H30" s="83"/>
      <c r="I30" s="84"/>
      <c r="J30" s="83"/>
      <c r="K30" s="84"/>
      <c r="L30" s="83"/>
      <c r="M30" s="84"/>
      <c r="N30" s="84"/>
      <c r="O30" s="176"/>
    </row>
    <row r="31" spans="1:15" s="177" customFormat="1" ht="18" customHeight="1">
      <c r="A31" s="5"/>
      <c r="B31" s="123"/>
      <c r="C31" s="63" t="s">
        <v>61</v>
      </c>
      <c r="D31" s="5" t="s">
        <v>74</v>
      </c>
      <c r="E31" s="87">
        <v>1</v>
      </c>
      <c r="F31" s="178">
        <f>F30*E31</f>
        <v>240</v>
      </c>
      <c r="G31" s="178"/>
      <c r="H31" s="83"/>
      <c r="I31" s="84"/>
      <c r="J31" s="83"/>
      <c r="K31" s="84"/>
      <c r="L31" s="83"/>
      <c r="M31" s="84"/>
      <c r="N31" s="84"/>
      <c r="O31" s="176"/>
    </row>
    <row r="32" spans="1:15" s="177" customFormat="1" ht="18" customHeight="1">
      <c r="A32" s="179"/>
      <c r="B32" s="180"/>
      <c r="C32" s="155" t="s">
        <v>137</v>
      </c>
      <c r="D32" s="5" t="s">
        <v>74</v>
      </c>
      <c r="E32" s="103">
        <v>1.15</v>
      </c>
      <c r="F32" s="178">
        <f>E32*F30</f>
        <v>276</v>
      </c>
      <c r="G32" s="178"/>
      <c r="H32" s="83"/>
      <c r="I32" s="84"/>
      <c r="J32" s="83"/>
      <c r="K32" s="84"/>
      <c r="L32" s="83"/>
      <c r="M32" s="84"/>
      <c r="N32" s="84"/>
      <c r="O32" s="176"/>
    </row>
    <row r="33" spans="1:15" s="177" customFormat="1" ht="18" customHeight="1">
      <c r="A33" s="179"/>
      <c r="B33" s="181"/>
      <c r="C33" s="63" t="s">
        <v>77</v>
      </c>
      <c r="D33" s="5" t="s">
        <v>15</v>
      </c>
      <c r="E33" s="103">
        <v>0.02</v>
      </c>
      <c r="F33" s="178">
        <f>E33*F30</f>
        <v>4.8</v>
      </c>
      <c r="G33" s="178"/>
      <c r="H33" s="83"/>
      <c r="I33" s="84"/>
      <c r="J33" s="83"/>
      <c r="K33" s="84"/>
      <c r="L33" s="83"/>
      <c r="M33" s="84"/>
      <c r="N33" s="84"/>
      <c r="O33" s="176"/>
    </row>
    <row r="34" spans="1:15" s="46" customFormat="1" ht="18" customHeight="1">
      <c r="A34" s="38" t="s">
        <v>6</v>
      </c>
      <c r="B34" s="141"/>
      <c r="C34" s="39" t="s">
        <v>82</v>
      </c>
      <c r="D34" s="40"/>
      <c r="E34" s="41"/>
      <c r="F34" s="42"/>
      <c r="G34" s="42"/>
      <c r="H34" s="83"/>
      <c r="I34" s="84"/>
      <c r="J34" s="83"/>
      <c r="K34" s="84"/>
      <c r="L34" s="83"/>
      <c r="M34" s="84"/>
      <c r="N34" s="84"/>
      <c r="O34" s="45"/>
    </row>
    <row r="35" spans="1:15" s="61" customFormat="1" ht="39" customHeight="1">
      <c r="A35" s="5">
        <f>A30+1</f>
        <v>9</v>
      </c>
      <c r="B35" s="94" t="s">
        <v>4</v>
      </c>
      <c r="C35" s="68" t="s">
        <v>85</v>
      </c>
      <c r="D35" s="69" t="s">
        <v>73</v>
      </c>
      <c r="E35" s="100"/>
      <c r="F35" s="147">
        <f>0.9+142.3</f>
        <v>143.20000000000002</v>
      </c>
      <c r="G35" s="147"/>
      <c r="H35" s="83"/>
      <c r="I35" s="84"/>
      <c r="J35" s="83"/>
      <c r="K35" s="84"/>
      <c r="L35" s="83"/>
      <c r="M35" s="84"/>
      <c r="N35" s="84"/>
      <c r="O35" s="122"/>
    </row>
    <row r="36" spans="1:15" s="67" customFormat="1" ht="18" customHeight="1">
      <c r="A36" s="4"/>
      <c r="B36" s="123"/>
      <c r="C36" s="63" t="s">
        <v>61</v>
      </c>
      <c r="D36" s="5" t="s">
        <v>74</v>
      </c>
      <c r="E36" s="87">
        <v>1</v>
      </c>
      <c r="F36" s="88">
        <f>E36*F35</f>
        <v>143.20000000000002</v>
      </c>
      <c r="G36" s="88"/>
      <c r="H36" s="83"/>
      <c r="I36" s="84"/>
      <c r="J36" s="83"/>
      <c r="K36" s="84"/>
      <c r="L36" s="83"/>
      <c r="M36" s="84"/>
      <c r="N36" s="84"/>
      <c r="O36" s="124"/>
    </row>
    <row r="37" spans="1:15" s="67" customFormat="1" ht="18" customHeight="1">
      <c r="A37" s="4"/>
      <c r="B37" s="123"/>
      <c r="C37" s="128" t="s">
        <v>83</v>
      </c>
      <c r="D37" s="5" t="s">
        <v>74</v>
      </c>
      <c r="E37" s="101">
        <v>1.02</v>
      </c>
      <c r="F37" s="88">
        <f>E37*F35</f>
        <v>146.06400000000002</v>
      </c>
      <c r="G37" s="88"/>
      <c r="H37" s="83"/>
      <c r="I37" s="84"/>
      <c r="J37" s="83"/>
      <c r="K37" s="84"/>
      <c r="L37" s="83"/>
      <c r="M37" s="84"/>
      <c r="N37" s="84"/>
      <c r="O37" s="124"/>
    </row>
    <row r="38" spans="1:15" s="67" customFormat="1" ht="18" customHeight="1">
      <c r="A38" s="4"/>
      <c r="B38" s="123"/>
      <c r="C38" s="63" t="s">
        <v>77</v>
      </c>
      <c r="D38" s="5" t="s">
        <v>15</v>
      </c>
      <c r="E38" s="87">
        <v>0.62</v>
      </c>
      <c r="F38" s="88">
        <f>F35*E38</f>
        <v>88.784</v>
      </c>
      <c r="G38" s="88"/>
      <c r="H38" s="83"/>
      <c r="I38" s="84"/>
      <c r="J38" s="83"/>
      <c r="K38" s="84"/>
      <c r="L38" s="83"/>
      <c r="M38" s="84"/>
      <c r="N38" s="84"/>
      <c r="O38" s="124"/>
    </row>
    <row r="39" spans="1:15" s="229" customFormat="1" ht="36" customHeight="1">
      <c r="A39" s="222">
        <f>A35+1</f>
        <v>10</v>
      </c>
      <c r="B39" s="223" t="s">
        <v>176</v>
      </c>
      <c r="C39" s="68" t="s">
        <v>630</v>
      </c>
      <c r="D39" s="5" t="s">
        <v>74</v>
      </c>
      <c r="E39" s="100"/>
      <c r="F39" s="147">
        <f>0.13*14</f>
        <v>1.82</v>
      </c>
      <c r="G39" s="147"/>
      <c r="H39" s="83"/>
      <c r="I39" s="84"/>
      <c r="J39" s="83"/>
      <c r="K39" s="84"/>
      <c r="L39" s="83"/>
      <c r="M39" s="84"/>
      <c r="N39" s="84"/>
      <c r="O39" s="228"/>
    </row>
    <row r="40" spans="1:14" s="232" customFormat="1" ht="17.25" customHeight="1">
      <c r="A40" s="230"/>
      <c r="B40" s="222"/>
      <c r="C40" s="63" t="s">
        <v>61</v>
      </c>
      <c r="D40" s="5" t="s">
        <v>74</v>
      </c>
      <c r="E40" s="87">
        <v>1</v>
      </c>
      <c r="F40" s="88">
        <f>E40*F39</f>
        <v>1.82</v>
      </c>
      <c r="G40" s="88"/>
      <c r="H40" s="83"/>
      <c r="I40" s="84"/>
      <c r="J40" s="83"/>
      <c r="K40" s="84"/>
      <c r="L40" s="83"/>
      <c r="M40" s="84"/>
      <c r="N40" s="84"/>
    </row>
    <row r="41" spans="1:14" s="232" customFormat="1" ht="17.25" customHeight="1">
      <c r="A41" s="230"/>
      <c r="B41" s="233" t="s">
        <v>177</v>
      </c>
      <c r="C41" s="128" t="s">
        <v>182</v>
      </c>
      <c r="D41" s="5" t="s">
        <v>81</v>
      </c>
      <c r="E41" s="87">
        <v>1.03</v>
      </c>
      <c r="F41" s="237">
        <f>(2.5*14)*E41/1000</f>
        <v>0.036050000000000006</v>
      </c>
      <c r="G41" s="237"/>
      <c r="H41" s="83"/>
      <c r="I41" s="84"/>
      <c r="J41" s="83"/>
      <c r="K41" s="84"/>
      <c r="L41" s="83"/>
      <c r="M41" s="84"/>
      <c r="N41" s="84"/>
    </row>
    <row r="42" spans="1:14" s="232" customFormat="1" ht="17.25" customHeight="1">
      <c r="A42" s="230"/>
      <c r="B42" s="233" t="s">
        <v>178</v>
      </c>
      <c r="C42" s="128" t="s">
        <v>184</v>
      </c>
      <c r="D42" s="5" t="s">
        <v>81</v>
      </c>
      <c r="E42" s="87">
        <v>1.03</v>
      </c>
      <c r="F42" s="237">
        <f>(5.5+3.2)*14*E42/1000</f>
        <v>0.12545399999999998</v>
      </c>
      <c r="G42" s="237"/>
      <c r="H42" s="83"/>
      <c r="I42" s="84"/>
      <c r="J42" s="83"/>
      <c r="K42" s="84"/>
      <c r="L42" s="83"/>
      <c r="M42" s="84"/>
      <c r="N42" s="84"/>
    </row>
    <row r="43" spans="1:15" s="67" customFormat="1" ht="17.25" customHeight="1">
      <c r="A43" s="4"/>
      <c r="B43" s="131"/>
      <c r="C43" s="63" t="s">
        <v>188</v>
      </c>
      <c r="D43" s="5" t="s">
        <v>74</v>
      </c>
      <c r="E43" s="101">
        <v>1.015</v>
      </c>
      <c r="F43" s="88">
        <f>E43*F39</f>
        <v>1.8473</v>
      </c>
      <c r="G43" s="88"/>
      <c r="H43" s="83"/>
      <c r="I43" s="84"/>
      <c r="J43" s="83"/>
      <c r="K43" s="84"/>
      <c r="L43" s="83"/>
      <c r="M43" s="84"/>
      <c r="N43" s="84"/>
      <c r="O43" s="126"/>
    </row>
    <row r="44" spans="1:14" s="232" customFormat="1" ht="17.25" customHeight="1">
      <c r="A44" s="230"/>
      <c r="B44" s="234" t="s">
        <v>180</v>
      </c>
      <c r="C44" s="128" t="s">
        <v>79</v>
      </c>
      <c r="D44" s="5" t="s">
        <v>86</v>
      </c>
      <c r="E44" s="87">
        <f>160/100</f>
        <v>1.6</v>
      </c>
      <c r="F44" s="88">
        <f>E44*F39</f>
        <v>2.9120000000000004</v>
      </c>
      <c r="G44" s="88"/>
      <c r="H44" s="83"/>
      <c r="I44" s="84"/>
      <c r="J44" s="83"/>
      <c r="K44" s="84"/>
      <c r="L44" s="83"/>
      <c r="M44" s="84"/>
      <c r="N44" s="84"/>
    </row>
    <row r="45" spans="1:14" s="236" customFormat="1" ht="17.25" customHeight="1">
      <c r="A45" s="235"/>
      <c r="B45" s="233" t="s">
        <v>181</v>
      </c>
      <c r="C45" s="63" t="s">
        <v>80</v>
      </c>
      <c r="D45" s="5" t="s">
        <v>74</v>
      </c>
      <c r="E45" s="99">
        <f>(1.83)/100</f>
        <v>0.0183</v>
      </c>
      <c r="F45" s="88">
        <f>E45*F39</f>
        <v>0.033306</v>
      </c>
      <c r="G45" s="88"/>
      <c r="H45" s="83"/>
      <c r="I45" s="84"/>
      <c r="J45" s="83"/>
      <c r="K45" s="84"/>
      <c r="L45" s="83"/>
      <c r="M45" s="84"/>
      <c r="N45" s="84"/>
    </row>
    <row r="46" spans="1:14" s="135" customFormat="1" ht="18" customHeight="1">
      <c r="A46" s="96"/>
      <c r="B46" s="96"/>
      <c r="C46" s="133" t="s">
        <v>78</v>
      </c>
      <c r="D46" s="4" t="s">
        <v>138</v>
      </c>
      <c r="E46" s="101">
        <v>7</v>
      </c>
      <c r="F46" s="83">
        <f>SUM(F41:F42)*E46</f>
        <v>1.130528</v>
      </c>
      <c r="G46" s="83"/>
      <c r="H46" s="83"/>
      <c r="I46" s="84"/>
      <c r="J46" s="83"/>
      <c r="K46" s="84"/>
      <c r="L46" s="83"/>
      <c r="M46" s="84"/>
      <c r="N46" s="84"/>
    </row>
    <row r="47" spans="1:14" s="232" customFormat="1" ht="17.25" customHeight="1">
      <c r="A47" s="230"/>
      <c r="B47" s="234"/>
      <c r="C47" s="63" t="s">
        <v>77</v>
      </c>
      <c r="D47" s="5" t="s">
        <v>15</v>
      </c>
      <c r="E47" s="87">
        <f>40*0.01</f>
        <v>0.4</v>
      </c>
      <c r="F47" s="88">
        <f>E47*F39</f>
        <v>0.7280000000000001</v>
      </c>
      <c r="G47" s="88"/>
      <c r="H47" s="83"/>
      <c r="I47" s="84"/>
      <c r="J47" s="83"/>
      <c r="K47" s="84"/>
      <c r="L47" s="83"/>
      <c r="M47" s="84"/>
      <c r="N47" s="84"/>
    </row>
    <row r="48" spans="1:15" s="61" customFormat="1" ht="54" customHeight="1">
      <c r="A48" s="5">
        <f>A39+1</f>
        <v>11</v>
      </c>
      <c r="B48" s="94" t="s">
        <v>16</v>
      </c>
      <c r="C48" s="68" t="s">
        <v>187</v>
      </c>
      <c r="D48" s="69" t="s">
        <v>73</v>
      </c>
      <c r="E48" s="100"/>
      <c r="F48" s="148">
        <v>560.6</v>
      </c>
      <c r="G48" s="148"/>
      <c r="H48" s="83"/>
      <c r="I48" s="84"/>
      <c r="J48" s="83"/>
      <c r="K48" s="84"/>
      <c r="L48" s="83"/>
      <c r="M48" s="84"/>
      <c r="N48" s="84"/>
      <c r="O48" s="125"/>
    </row>
    <row r="49" spans="1:15" s="67" customFormat="1" ht="17.25" customHeight="1">
      <c r="A49" s="4"/>
      <c r="B49" s="123"/>
      <c r="C49" s="63" t="s">
        <v>61</v>
      </c>
      <c r="D49" s="5" t="s">
        <v>74</v>
      </c>
      <c r="E49" s="87">
        <v>1</v>
      </c>
      <c r="F49" s="88">
        <f>E49*F48</f>
        <v>560.6</v>
      </c>
      <c r="G49" s="88"/>
      <c r="H49" s="83"/>
      <c r="I49" s="84"/>
      <c r="J49" s="83"/>
      <c r="K49" s="84"/>
      <c r="L49" s="83"/>
      <c r="M49" s="84"/>
      <c r="N49" s="84"/>
      <c r="O49" s="126"/>
    </row>
    <row r="50" spans="1:15" s="67" customFormat="1" ht="18" customHeight="1">
      <c r="A50" s="4"/>
      <c r="B50" s="127"/>
      <c r="C50" s="128" t="s">
        <v>182</v>
      </c>
      <c r="D50" s="5" t="s">
        <v>81</v>
      </c>
      <c r="E50" s="87">
        <v>1.03</v>
      </c>
      <c r="F50" s="237">
        <f>(1200+160+8+15)*E50/1000</f>
        <v>1.42449</v>
      </c>
      <c r="G50" s="237"/>
      <c r="H50" s="83"/>
      <c r="I50" s="84"/>
      <c r="J50" s="83"/>
      <c r="K50" s="84"/>
      <c r="L50" s="83"/>
      <c r="M50" s="84"/>
      <c r="N50" s="84"/>
      <c r="O50" s="124"/>
    </row>
    <row r="51" spans="1:15" s="130" customFormat="1" ht="17.25" customHeight="1">
      <c r="A51" s="109"/>
      <c r="B51" s="127"/>
      <c r="C51" s="128" t="s">
        <v>183</v>
      </c>
      <c r="D51" s="5" t="s">
        <v>81</v>
      </c>
      <c r="E51" s="104">
        <v>1.03</v>
      </c>
      <c r="F51" s="238">
        <f>(2320)*E51/1000</f>
        <v>2.3895999999999997</v>
      </c>
      <c r="G51" s="238"/>
      <c r="H51" s="83"/>
      <c r="I51" s="84"/>
      <c r="J51" s="83"/>
      <c r="K51" s="84"/>
      <c r="L51" s="83"/>
      <c r="M51" s="84"/>
      <c r="N51" s="84"/>
      <c r="O51" s="129"/>
    </row>
    <row r="52" spans="1:15" s="130" customFormat="1" ht="17.25" customHeight="1">
      <c r="A52" s="109"/>
      <c r="B52" s="127"/>
      <c r="C52" s="128" t="s">
        <v>189</v>
      </c>
      <c r="D52" s="5" t="s">
        <v>81</v>
      </c>
      <c r="E52" s="104">
        <v>1.03</v>
      </c>
      <c r="F52" s="238">
        <f>(13080+13080+750)*E52/1000</f>
        <v>27.717299999999998</v>
      </c>
      <c r="G52" s="238"/>
      <c r="H52" s="83"/>
      <c r="I52" s="84"/>
      <c r="J52" s="83"/>
      <c r="K52" s="84"/>
      <c r="L52" s="83"/>
      <c r="M52" s="84"/>
      <c r="N52" s="84"/>
      <c r="O52" s="129"/>
    </row>
    <row r="53" spans="1:15" s="130" customFormat="1" ht="17.25" customHeight="1">
      <c r="A53" s="109"/>
      <c r="B53" s="127"/>
      <c r="C53" s="128" t="s">
        <v>190</v>
      </c>
      <c r="D53" s="5" t="s">
        <v>81</v>
      </c>
      <c r="E53" s="104">
        <v>1.03</v>
      </c>
      <c r="F53" s="238">
        <f>(735)*E53/1000</f>
        <v>0.7570500000000001</v>
      </c>
      <c r="G53" s="238"/>
      <c r="H53" s="83"/>
      <c r="I53" s="84"/>
      <c r="J53" s="83"/>
      <c r="K53" s="84"/>
      <c r="L53" s="83"/>
      <c r="M53" s="84"/>
      <c r="N53" s="84"/>
      <c r="O53" s="129"/>
    </row>
    <row r="54" spans="1:15" s="130" customFormat="1" ht="17.25" customHeight="1">
      <c r="A54" s="109"/>
      <c r="B54" s="127"/>
      <c r="C54" s="128" t="s">
        <v>185</v>
      </c>
      <c r="D54" s="5" t="s">
        <v>81</v>
      </c>
      <c r="E54" s="104">
        <v>1.03</v>
      </c>
      <c r="F54" s="238">
        <f>(50)*E54/1000</f>
        <v>0.0515</v>
      </c>
      <c r="G54" s="238"/>
      <c r="H54" s="83"/>
      <c r="I54" s="84"/>
      <c r="J54" s="83"/>
      <c r="K54" s="84"/>
      <c r="L54" s="83"/>
      <c r="M54" s="84"/>
      <c r="N54" s="84"/>
      <c r="O54" s="129"/>
    </row>
    <row r="55" spans="1:15" s="130" customFormat="1" ht="17.25" customHeight="1">
      <c r="A55" s="109"/>
      <c r="B55" s="127"/>
      <c r="C55" s="128" t="s">
        <v>186</v>
      </c>
      <c r="D55" s="5" t="s">
        <v>81</v>
      </c>
      <c r="E55" s="104">
        <v>1.03</v>
      </c>
      <c r="F55" s="238">
        <f>(120)*E55/1000</f>
        <v>0.12360000000000002</v>
      </c>
      <c r="G55" s="238"/>
      <c r="H55" s="83"/>
      <c r="I55" s="84"/>
      <c r="J55" s="83"/>
      <c r="K55" s="84"/>
      <c r="L55" s="83"/>
      <c r="M55" s="84"/>
      <c r="N55" s="84"/>
      <c r="O55" s="129"/>
    </row>
    <row r="56" spans="1:15" s="67" customFormat="1" ht="17.25" customHeight="1">
      <c r="A56" s="4"/>
      <c r="B56" s="131"/>
      <c r="C56" s="63" t="s">
        <v>188</v>
      </c>
      <c r="D56" s="5" t="s">
        <v>74</v>
      </c>
      <c r="E56" s="101">
        <v>1.015</v>
      </c>
      <c r="F56" s="88">
        <f>E56*F48</f>
        <v>569.009</v>
      </c>
      <c r="G56" s="88"/>
      <c r="H56" s="83"/>
      <c r="I56" s="84"/>
      <c r="J56" s="83"/>
      <c r="K56" s="84"/>
      <c r="L56" s="83"/>
      <c r="M56" s="84"/>
      <c r="N56" s="84"/>
      <c r="O56" s="126"/>
    </row>
    <row r="57" spans="1:14" ht="17.25" customHeight="1">
      <c r="A57" s="136"/>
      <c r="B57" s="131"/>
      <c r="C57" s="128" t="s">
        <v>479</v>
      </c>
      <c r="D57" s="5" t="s">
        <v>74</v>
      </c>
      <c r="E57" s="87">
        <v>1</v>
      </c>
      <c r="F57" s="88">
        <f>F56</f>
        <v>569.009</v>
      </c>
      <c r="G57" s="88"/>
      <c r="H57" s="83"/>
      <c r="I57" s="84"/>
      <c r="J57" s="83"/>
      <c r="K57" s="84"/>
      <c r="L57" s="83"/>
      <c r="M57" s="84"/>
      <c r="N57" s="84"/>
    </row>
    <row r="58" spans="1:15" s="67" customFormat="1" ht="17.25" customHeight="1">
      <c r="A58" s="4"/>
      <c r="B58" s="132"/>
      <c r="C58" s="128" t="s">
        <v>79</v>
      </c>
      <c r="D58" s="5" t="s">
        <v>86</v>
      </c>
      <c r="E58" s="99">
        <f>7.54/100</f>
        <v>0.0754</v>
      </c>
      <c r="F58" s="88">
        <f>E58*F48</f>
        <v>42.269239999999996</v>
      </c>
      <c r="G58" s="88"/>
      <c r="H58" s="83"/>
      <c r="I58" s="84"/>
      <c r="J58" s="83"/>
      <c r="K58" s="84"/>
      <c r="L58" s="83"/>
      <c r="M58" s="84"/>
      <c r="N58" s="84"/>
      <c r="O58" s="126"/>
    </row>
    <row r="59" spans="1:15" ht="17.25" customHeight="1">
      <c r="A59" s="136"/>
      <c r="B59" s="127"/>
      <c r="C59" s="63" t="s">
        <v>80</v>
      </c>
      <c r="D59" s="5" t="s">
        <v>74</v>
      </c>
      <c r="E59" s="101">
        <f>0.08/100</f>
        <v>0.0008</v>
      </c>
      <c r="F59" s="88">
        <f>E59*F48</f>
        <v>0.44848000000000005</v>
      </c>
      <c r="G59" s="88"/>
      <c r="H59" s="83"/>
      <c r="I59" s="84"/>
      <c r="J59" s="83"/>
      <c r="K59" s="84"/>
      <c r="L59" s="83"/>
      <c r="M59" s="84"/>
      <c r="N59" s="84"/>
      <c r="O59" s="137"/>
    </row>
    <row r="60" spans="1:14" s="135" customFormat="1" ht="18" customHeight="1">
      <c r="A60" s="96"/>
      <c r="B60" s="96"/>
      <c r="C60" s="133" t="s">
        <v>78</v>
      </c>
      <c r="D60" s="4" t="s">
        <v>138</v>
      </c>
      <c r="E60" s="87">
        <v>7</v>
      </c>
      <c r="F60" s="83">
        <f>SUM(F50:F55)*E60</f>
        <v>227.24478000000002</v>
      </c>
      <c r="G60" s="83"/>
      <c r="H60" s="134"/>
      <c r="I60" s="134"/>
      <c r="J60" s="134"/>
      <c r="K60" s="134"/>
      <c r="L60" s="134"/>
      <c r="M60" s="134"/>
      <c r="N60" s="134"/>
    </row>
    <row r="61" spans="1:15" s="67" customFormat="1" ht="17.25" customHeight="1">
      <c r="A61" s="4"/>
      <c r="B61" s="123"/>
      <c r="C61" s="63" t="s">
        <v>77</v>
      </c>
      <c r="D61" s="5" t="s">
        <v>15</v>
      </c>
      <c r="E61" s="101">
        <f>7/100</f>
        <v>0.07</v>
      </c>
      <c r="F61" s="88">
        <f>F48*E61</f>
        <v>39.242000000000004</v>
      </c>
      <c r="G61" s="88"/>
      <c r="H61" s="83"/>
      <c r="I61" s="84"/>
      <c r="J61" s="83"/>
      <c r="K61" s="84"/>
      <c r="L61" s="83"/>
      <c r="M61" s="84"/>
      <c r="N61" s="84"/>
      <c r="O61" s="126"/>
    </row>
    <row r="62" spans="1:14" ht="39" customHeight="1">
      <c r="A62" s="5">
        <f>A48+1</f>
        <v>12</v>
      </c>
      <c r="B62" s="94" t="s">
        <v>21</v>
      </c>
      <c r="C62" s="68" t="s">
        <v>631</v>
      </c>
      <c r="D62" s="69" t="s">
        <v>73</v>
      </c>
      <c r="E62" s="101"/>
      <c r="F62" s="148">
        <f>23.7+8.9+2.4+1.2+1.2+1.8+3+1.5</f>
        <v>43.7</v>
      </c>
      <c r="G62" s="148"/>
      <c r="H62" s="83"/>
      <c r="I62" s="84"/>
      <c r="J62" s="83"/>
      <c r="K62" s="84"/>
      <c r="L62" s="83"/>
      <c r="M62" s="84"/>
      <c r="N62" s="84"/>
    </row>
    <row r="63" spans="1:14" ht="17.25" customHeight="1">
      <c r="A63" s="182"/>
      <c r="B63" s="183"/>
      <c r="C63" s="63" t="s">
        <v>61</v>
      </c>
      <c r="D63" s="5" t="s">
        <v>74</v>
      </c>
      <c r="E63" s="87">
        <v>1</v>
      </c>
      <c r="F63" s="106">
        <f>F62*E63</f>
        <v>43.7</v>
      </c>
      <c r="G63" s="106"/>
      <c r="H63" s="83"/>
      <c r="I63" s="84"/>
      <c r="J63" s="83"/>
      <c r="K63" s="84"/>
      <c r="L63" s="83"/>
      <c r="M63" s="84"/>
      <c r="N63" s="84"/>
    </row>
    <row r="64" spans="1:15" s="67" customFormat="1" ht="18" customHeight="1">
      <c r="A64" s="4"/>
      <c r="B64" s="127"/>
      <c r="C64" s="128" t="s">
        <v>182</v>
      </c>
      <c r="D64" s="5" t="s">
        <v>81</v>
      </c>
      <c r="E64" s="87">
        <v>1.03</v>
      </c>
      <c r="F64" s="237">
        <f>(820+310+85+41+41+65+125+65)*E64/1000</f>
        <v>1.59856</v>
      </c>
      <c r="G64" s="237"/>
      <c r="H64" s="83"/>
      <c r="I64" s="84"/>
      <c r="J64" s="83"/>
      <c r="K64" s="84"/>
      <c r="L64" s="83"/>
      <c r="M64" s="84"/>
      <c r="N64" s="84"/>
      <c r="O64" s="124"/>
    </row>
    <row r="65" spans="1:15" s="130" customFormat="1" ht="17.25" customHeight="1">
      <c r="A65" s="109"/>
      <c r="B65" s="127"/>
      <c r="C65" s="128" t="s">
        <v>469</v>
      </c>
      <c r="D65" s="5" t="s">
        <v>81</v>
      </c>
      <c r="E65" s="87">
        <v>1.03</v>
      </c>
      <c r="F65" s="238">
        <f>(1400+495+140+70+70)*E65/1000</f>
        <v>2.24025</v>
      </c>
      <c r="G65" s="238"/>
      <c r="H65" s="83"/>
      <c r="I65" s="84"/>
      <c r="J65" s="83"/>
      <c r="K65" s="84"/>
      <c r="L65" s="83"/>
      <c r="M65" s="84"/>
      <c r="N65" s="84"/>
      <c r="O65" s="129"/>
    </row>
    <row r="66" spans="1:15" s="130" customFormat="1" ht="17.25" customHeight="1">
      <c r="A66" s="109"/>
      <c r="B66" s="127"/>
      <c r="C66" s="128" t="s">
        <v>470</v>
      </c>
      <c r="D66" s="5" t="s">
        <v>81</v>
      </c>
      <c r="E66" s="87">
        <v>1.03</v>
      </c>
      <c r="F66" s="238">
        <f>(135)*E66/1000</f>
        <v>0.13905</v>
      </c>
      <c r="G66" s="238"/>
      <c r="H66" s="83"/>
      <c r="I66" s="84"/>
      <c r="J66" s="83"/>
      <c r="K66" s="84"/>
      <c r="L66" s="83"/>
      <c r="M66" s="84"/>
      <c r="N66" s="84"/>
      <c r="O66" s="129"/>
    </row>
    <row r="67" spans="1:15" s="130" customFormat="1" ht="17.25" customHeight="1">
      <c r="A67" s="109"/>
      <c r="B67" s="127"/>
      <c r="C67" s="128" t="s">
        <v>471</v>
      </c>
      <c r="D67" s="5" t="s">
        <v>81</v>
      </c>
      <c r="E67" s="87">
        <v>1.03</v>
      </c>
      <c r="F67" s="238">
        <f>(285+145)*E67/1000</f>
        <v>0.4429</v>
      </c>
      <c r="G67" s="238"/>
      <c r="H67" s="83"/>
      <c r="I67" s="84"/>
      <c r="J67" s="83"/>
      <c r="K67" s="84"/>
      <c r="L67" s="83"/>
      <c r="M67" s="84"/>
      <c r="N67" s="84"/>
      <c r="O67" s="129"/>
    </row>
    <row r="68" spans="1:14" ht="17.25" customHeight="1">
      <c r="A68" s="182"/>
      <c r="B68" s="131"/>
      <c r="C68" s="63" t="s">
        <v>84</v>
      </c>
      <c r="D68" s="5" t="s">
        <v>74</v>
      </c>
      <c r="E68" s="101">
        <f>101.5/100</f>
        <v>1.015</v>
      </c>
      <c r="F68" s="88">
        <f>E68*F62</f>
        <v>44.3555</v>
      </c>
      <c r="G68" s="88"/>
      <c r="H68" s="83"/>
      <c r="I68" s="84"/>
      <c r="J68" s="83"/>
      <c r="K68" s="84"/>
      <c r="L68" s="83"/>
      <c r="M68" s="84"/>
      <c r="N68" s="84"/>
    </row>
    <row r="69" spans="1:14" ht="17.25" customHeight="1">
      <c r="A69" s="136"/>
      <c r="B69" s="131"/>
      <c r="C69" s="128" t="s">
        <v>479</v>
      </c>
      <c r="D69" s="5" t="s">
        <v>74</v>
      </c>
      <c r="E69" s="87">
        <v>1</v>
      </c>
      <c r="F69" s="88">
        <f>F68</f>
        <v>44.3555</v>
      </c>
      <c r="G69" s="88"/>
      <c r="H69" s="83"/>
      <c r="I69" s="84"/>
      <c r="J69" s="83"/>
      <c r="K69" s="84"/>
      <c r="L69" s="83"/>
      <c r="M69" s="84"/>
      <c r="N69" s="84"/>
    </row>
    <row r="70" spans="1:14" ht="17.25" customHeight="1">
      <c r="A70" s="182"/>
      <c r="B70" s="132"/>
      <c r="C70" s="128" t="s">
        <v>79</v>
      </c>
      <c r="D70" s="5" t="s">
        <v>86</v>
      </c>
      <c r="E70" s="101">
        <v>2.42</v>
      </c>
      <c r="F70" s="106">
        <f>F62*E70</f>
        <v>105.754</v>
      </c>
      <c r="G70" s="106"/>
      <c r="H70" s="83"/>
      <c r="I70" s="84"/>
      <c r="J70" s="83"/>
      <c r="K70" s="84"/>
      <c r="L70" s="83"/>
      <c r="M70" s="84"/>
      <c r="N70" s="84"/>
    </row>
    <row r="71" spans="1:14" ht="17.25" customHeight="1">
      <c r="A71" s="182"/>
      <c r="B71" s="127"/>
      <c r="C71" s="63" t="s">
        <v>80</v>
      </c>
      <c r="D71" s="5" t="s">
        <v>74</v>
      </c>
      <c r="E71" s="101">
        <v>0.0648</v>
      </c>
      <c r="F71" s="106">
        <f>E71*F62</f>
        <v>2.83176</v>
      </c>
      <c r="G71" s="106"/>
      <c r="H71" s="83"/>
      <c r="I71" s="84"/>
      <c r="J71" s="83"/>
      <c r="K71" s="84"/>
      <c r="L71" s="83"/>
      <c r="M71" s="84"/>
      <c r="N71" s="84"/>
    </row>
    <row r="72" spans="1:14" s="135" customFormat="1" ht="18" customHeight="1">
      <c r="A72" s="96"/>
      <c r="B72" s="96"/>
      <c r="C72" s="133" t="s">
        <v>78</v>
      </c>
      <c r="D72" s="4" t="s">
        <v>138</v>
      </c>
      <c r="E72" s="87">
        <v>7</v>
      </c>
      <c r="F72" s="83">
        <f>SUM(F64:F67)*E72</f>
        <v>30.945320000000002</v>
      </c>
      <c r="G72" s="83"/>
      <c r="H72" s="134"/>
      <c r="I72" s="134"/>
      <c r="J72" s="134"/>
      <c r="K72" s="134"/>
      <c r="L72" s="134"/>
      <c r="M72" s="134"/>
      <c r="N72" s="134"/>
    </row>
    <row r="73" spans="1:14" ht="17.25" customHeight="1">
      <c r="A73" s="182"/>
      <c r="B73" s="145"/>
      <c r="C73" s="128" t="s">
        <v>88</v>
      </c>
      <c r="D73" s="4" t="s">
        <v>138</v>
      </c>
      <c r="E73" s="87">
        <f>1.5</f>
        <v>1.5</v>
      </c>
      <c r="F73" s="106">
        <f>F62*E73</f>
        <v>65.55000000000001</v>
      </c>
      <c r="G73" s="106"/>
      <c r="H73" s="83"/>
      <c r="I73" s="84"/>
      <c r="J73" s="83"/>
      <c r="K73" s="84"/>
      <c r="L73" s="83"/>
      <c r="M73" s="84"/>
      <c r="N73" s="84"/>
    </row>
    <row r="74" spans="1:15" s="67" customFormat="1" ht="17.25" customHeight="1">
      <c r="A74" s="4"/>
      <c r="B74" s="123"/>
      <c r="C74" s="63" t="s">
        <v>77</v>
      </c>
      <c r="D74" s="5" t="s">
        <v>15</v>
      </c>
      <c r="E74" s="101">
        <v>0.6</v>
      </c>
      <c r="F74" s="88">
        <f>F62*E74</f>
        <v>26.220000000000002</v>
      </c>
      <c r="G74" s="88"/>
      <c r="H74" s="83"/>
      <c r="I74" s="84"/>
      <c r="J74" s="83"/>
      <c r="K74" s="84"/>
      <c r="L74" s="83"/>
      <c r="M74" s="84"/>
      <c r="N74" s="84"/>
      <c r="O74" s="124"/>
    </row>
    <row r="75" spans="1:14" ht="54" customHeight="1">
      <c r="A75" s="5">
        <f>A62+1</f>
        <v>13</v>
      </c>
      <c r="B75" s="94" t="s">
        <v>23</v>
      </c>
      <c r="C75" s="68" t="s">
        <v>191</v>
      </c>
      <c r="D75" s="69" t="s">
        <v>73</v>
      </c>
      <c r="E75" s="101"/>
      <c r="F75" s="148">
        <v>305.4</v>
      </c>
      <c r="G75" s="148"/>
      <c r="H75" s="83"/>
      <c r="I75" s="84"/>
      <c r="J75" s="83"/>
      <c r="K75" s="84"/>
      <c r="L75" s="83"/>
      <c r="M75" s="84"/>
      <c r="N75" s="84"/>
    </row>
    <row r="76" spans="1:14" ht="18" customHeight="1">
      <c r="A76" s="182"/>
      <c r="B76" s="183"/>
      <c r="C76" s="63" t="s">
        <v>61</v>
      </c>
      <c r="D76" s="5" t="s">
        <v>74</v>
      </c>
      <c r="E76" s="87">
        <v>1</v>
      </c>
      <c r="F76" s="106">
        <f>F75*E76</f>
        <v>305.4</v>
      </c>
      <c r="G76" s="106"/>
      <c r="H76" s="83"/>
      <c r="I76" s="84"/>
      <c r="J76" s="83"/>
      <c r="K76" s="84"/>
      <c r="L76" s="83"/>
      <c r="M76" s="84"/>
      <c r="N76" s="84"/>
    </row>
    <row r="77" spans="1:15" s="67" customFormat="1" ht="18" customHeight="1">
      <c r="A77" s="4"/>
      <c r="B77" s="127"/>
      <c r="C77" s="128" t="s">
        <v>182</v>
      </c>
      <c r="D77" s="5" t="s">
        <v>81</v>
      </c>
      <c r="E77" s="87">
        <v>1.03</v>
      </c>
      <c r="F77" s="237">
        <f>(805+2090+690)*E77/1000</f>
        <v>3.69255</v>
      </c>
      <c r="G77" s="237"/>
      <c r="H77" s="83"/>
      <c r="I77" s="84"/>
      <c r="J77" s="83"/>
      <c r="K77" s="84"/>
      <c r="L77" s="83"/>
      <c r="M77" s="84"/>
      <c r="N77" s="84"/>
      <c r="O77" s="124"/>
    </row>
    <row r="78" spans="1:15" s="130" customFormat="1" ht="17.25" customHeight="1">
      <c r="A78" s="109"/>
      <c r="B78" s="127"/>
      <c r="C78" s="128" t="s">
        <v>183</v>
      </c>
      <c r="D78" s="5" t="s">
        <v>81</v>
      </c>
      <c r="E78" s="87">
        <v>1.03</v>
      </c>
      <c r="F78" s="238">
        <f>(1845)*E78/1000</f>
        <v>1.9003500000000002</v>
      </c>
      <c r="G78" s="238"/>
      <c r="H78" s="83"/>
      <c r="I78" s="84"/>
      <c r="J78" s="83"/>
      <c r="K78" s="84"/>
      <c r="L78" s="83"/>
      <c r="M78" s="84"/>
      <c r="N78" s="84"/>
      <c r="O78" s="129"/>
    </row>
    <row r="79" spans="1:15" s="130" customFormat="1" ht="17.25" customHeight="1">
      <c r="A79" s="109"/>
      <c r="B79" s="127"/>
      <c r="C79" s="128" t="s">
        <v>472</v>
      </c>
      <c r="D79" s="5" t="s">
        <v>81</v>
      </c>
      <c r="E79" s="87">
        <v>1.03</v>
      </c>
      <c r="F79" s="238">
        <f>(12960)*E79/1000</f>
        <v>13.3488</v>
      </c>
      <c r="G79" s="238"/>
      <c r="H79" s="83"/>
      <c r="I79" s="84"/>
      <c r="J79" s="83"/>
      <c r="K79" s="84"/>
      <c r="L79" s="83"/>
      <c r="M79" s="84"/>
      <c r="N79" s="84"/>
      <c r="O79" s="129"/>
    </row>
    <row r="80" spans="1:15" s="130" customFormat="1" ht="17.25" customHeight="1">
      <c r="A80" s="109"/>
      <c r="B80" s="127"/>
      <c r="C80" s="128" t="s">
        <v>473</v>
      </c>
      <c r="D80" s="5" t="s">
        <v>81</v>
      </c>
      <c r="E80" s="87">
        <v>1.03</v>
      </c>
      <c r="F80" s="238">
        <f>(17630)*E80/1000</f>
        <v>18.158900000000003</v>
      </c>
      <c r="G80" s="238"/>
      <c r="H80" s="83"/>
      <c r="I80" s="84"/>
      <c r="J80" s="83"/>
      <c r="K80" s="84"/>
      <c r="L80" s="83"/>
      <c r="M80" s="84"/>
      <c r="N80" s="84"/>
      <c r="O80" s="129"/>
    </row>
    <row r="81" spans="1:15" s="130" customFormat="1" ht="17.25" customHeight="1">
      <c r="A81" s="109"/>
      <c r="B81" s="127"/>
      <c r="C81" s="128" t="s">
        <v>474</v>
      </c>
      <c r="D81" s="5" t="s">
        <v>81</v>
      </c>
      <c r="E81" s="87">
        <v>1.03</v>
      </c>
      <c r="F81" s="238">
        <f>(1620)*E81/1000</f>
        <v>1.6686</v>
      </c>
      <c r="G81" s="238"/>
      <c r="H81" s="83"/>
      <c r="I81" s="84"/>
      <c r="J81" s="83"/>
      <c r="K81" s="84"/>
      <c r="L81" s="83"/>
      <c r="M81" s="84"/>
      <c r="N81" s="84"/>
      <c r="O81" s="129"/>
    </row>
    <row r="82" spans="1:14" ht="18" customHeight="1">
      <c r="A82" s="182"/>
      <c r="B82" s="131"/>
      <c r="C82" s="63" t="s">
        <v>84</v>
      </c>
      <c r="D82" s="5" t="s">
        <v>74</v>
      </c>
      <c r="E82" s="101">
        <f>101.5/100</f>
        <v>1.015</v>
      </c>
      <c r="F82" s="88">
        <f>E82*F75</f>
        <v>309.98099999999994</v>
      </c>
      <c r="G82" s="88"/>
      <c r="H82" s="83"/>
      <c r="I82" s="84"/>
      <c r="J82" s="83"/>
      <c r="K82" s="84"/>
      <c r="L82" s="83"/>
      <c r="M82" s="84"/>
      <c r="N82" s="84"/>
    </row>
    <row r="83" spans="1:14" ht="17.25" customHeight="1">
      <c r="A83" s="136"/>
      <c r="B83" s="131"/>
      <c r="C83" s="128" t="s">
        <v>479</v>
      </c>
      <c r="D83" s="5" t="s">
        <v>74</v>
      </c>
      <c r="E83" s="87">
        <v>1</v>
      </c>
      <c r="F83" s="88">
        <f>F82</f>
        <v>309.98099999999994</v>
      </c>
      <c r="G83" s="88"/>
      <c r="H83" s="83"/>
      <c r="I83" s="84"/>
      <c r="J83" s="83"/>
      <c r="K83" s="84"/>
      <c r="L83" s="83"/>
      <c r="M83" s="84"/>
      <c r="N83" s="84"/>
    </row>
    <row r="84" spans="1:14" ht="18" customHeight="1">
      <c r="A84" s="182"/>
      <c r="B84" s="132"/>
      <c r="C84" s="128" t="s">
        <v>79</v>
      </c>
      <c r="D84" s="5" t="s">
        <v>86</v>
      </c>
      <c r="E84" s="101">
        <f>137*0.01</f>
        <v>1.37</v>
      </c>
      <c r="F84" s="106">
        <f>F75*E84</f>
        <v>418.398</v>
      </c>
      <c r="G84" s="106"/>
      <c r="H84" s="83"/>
      <c r="I84" s="84"/>
      <c r="J84" s="83"/>
      <c r="K84" s="84"/>
      <c r="L84" s="83"/>
      <c r="M84" s="84"/>
      <c r="N84" s="84"/>
    </row>
    <row r="85" spans="1:14" ht="18" customHeight="1">
      <c r="A85" s="182"/>
      <c r="B85" s="127"/>
      <c r="C85" s="63" t="s">
        <v>80</v>
      </c>
      <c r="D85" s="5" t="s">
        <v>74</v>
      </c>
      <c r="E85" s="101">
        <f>(0.84+2.56+0.26)*0.01</f>
        <v>0.0366</v>
      </c>
      <c r="F85" s="106">
        <f>F75*E85</f>
        <v>11.177639999999998</v>
      </c>
      <c r="G85" s="106"/>
      <c r="H85" s="83"/>
      <c r="I85" s="84"/>
      <c r="J85" s="83"/>
      <c r="K85" s="84"/>
      <c r="L85" s="83"/>
      <c r="M85" s="84"/>
      <c r="N85" s="84"/>
    </row>
    <row r="86" spans="1:14" s="135" customFormat="1" ht="18" customHeight="1">
      <c r="A86" s="96"/>
      <c r="B86" s="96"/>
      <c r="C86" s="133" t="s">
        <v>78</v>
      </c>
      <c r="D86" s="4" t="s">
        <v>138</v>
      </c>
      <c r="E86" s="87">
        <v>7</v>
      </c>
      <c r="F86" s="83">
        <f>SUM(F77:F81)*E86</f>
        <v>271.38439999999997</v>
      </c>
      <c r="G86" s="83"/>
      <c r="H86" s="134"/>
      <c r="I86" s="134"/>
      <c r="J86" s="134"/>
      <c r="K86" s="134"/>
      <c r="L86" s="134"/>
      <c r="M86" s="134"/>
      <c r="N86" s="134"/>
    </row>
    <row r="87" spans="1:15" s="67" customFormat="1" ht="17.25" customHeight="1">
      <c r="A87" s="4"/>
      <c r="B87" s="123"/>
      <c r="C87" s="63" t="s">
        <v>77</v>
      </c>
      <c r="D87" s="5" t="s">
        <v>15</v>
      </c>
      <c r="E87" s="101">
        <f>39*0.01</f>
        <v>0.39</v>
      </c>
      <c r="F87" s="88">
        <f>F75*E87</f>
        <v>119.106</v>
      </c>
      <c r="G87" s="88"/>
      <c r="H87" s="83"/>
      <c r="I87" s="84"/>
      <c r="J87" s="83"/>
      <c r="K87" s="84"/>
      <c r="L87" s="83"/>
      <c r="M87" s="84"/>
      <c r="N87" s="84"/>
      <c r="O87" s="124"/>
    </row>
    <row r="88" spans="1:14" ht="54" customHeight="1">
      <c r="A88" s="5">
        <f>A75+1</f>
        <v>14</v>
      </c>
      <c r="B88" s="94" t="s">
        <v>23</v>
      </c>
      <c r="C88" s="68" t="s">
        <v>192</v>
      </c>
      <c r="D88" s="69" t="s">
        <v>73</v>
      </c>
      <c r="E88" s="101"/>
      <c r="F88" s="148">
        <v>17.02</v>
      </c>
      <c r="G88" s="148"/>
      <c r="H88" s="83"/>
      <c r="I88" s="84"/>
      <c r="J88" s="83"/>
      <c r="K88" s="84"/>
      <c r="L88" s="83"/>
      <c r="M88" s="84"/>
      <c r="N88" s="84"/>
    </row>
    <row r="89" spans="1:14" ht="18" customHeight="1">
      <c r="A89" s="182"/>
      <c r="B89" s="183"/>
      <c r="C89" s="63" t="s">
        <v>61</v>
      </c>
      <c r="D89" s="5" t="s">
        <v>74</v>
      </c>
      <c r="E89" s="87">
        <v>1</v>
      </c>
      <c r="F89" s="106">
        <f>F88*E89</f>
        <v>17.02</v>
      </c>
      <c r="G89" s="106"/>
      <c r="H89" s="83"/>
      <c r="I89" s="84"/>
      <c r="J89" s="83"/>
      <c r="K89" s="84"/>
      <c r="L89" s="83"/>
      <c r="M89" s="84"/>
      <c r="N89" s="84"/>
    </row>
    <row r="90" spans="1:15" s="67" customFormat="1" ht="18" customHeight="1">
      <c r="A90" s="4"/>
      <c r="B90" s="127"/>
      <c r="C90" s="128" t="s">
        <v>182</v>
      </c>
      <c r="D90" s="5" t="s">
        <v>81</v>
      </c>
      <c r="E90" s="87">
        <v>1.03</v>
      </c>
      <c r="F90" s="237">
        <f>(50)*E90/1000</f>
        <v>0.0515</v>
      </c>
      <c r="G90" s="237"/>
      <c r="H90" s="83"/>
      <c r="I90" s="84"/>
      <c r="J90" s="83"/>
      <c r="K90" s="84"/>
      <c r="L90" s="83"/>
      <c r="M90" s="84"/>
      <c r="N90" s="84"/>
      <c r="O90" s="124"/>
    </row>
    <row r="91" spans="1:15" s="130" customFormat="1" ht="17.25" customHeight="1">
      <c r="A91" s="109"/>
      <c r="B91" s="127"/>
      <c r="C91" s="128" t="s">
        <v>472</v>
      </c>
      <c r="D91" s="5" t="s">
        <v>81</v>
      </c>
      <c r="E91" s="87">
        <v>1.03</v>
      </c>
      <c r="F91" s="238">
        <f>(780)*E91/1000</f>
        <v>0.8034</v>
      </c>
      <c r="G91" s="238"/>
      <c r="H91" s="83"/>
      <c r="I91" s="84"/>
      <c r="J91" s="83"/>
      <c r="K91" s="84"/>
      <c r="L91" s="83"/>
      <c r="M91" s="84"/>
      <c r="N91" s="84"/>
      <c r="O91" s="129"/>
    </row>
    <row r="92" spans="1:15" s="130" customFormat="1" ht="17.25" customHeight="1">
      <c r="A92" s="109"/>
      <c r="B92" s="127"/>
      <c r="C92" s="128" t="s">
        <v>473</v>
      </c>
      <c r="D92" s="5" t="s">
        <v>81</v>
      </c>
      <c r="E92" s="87">
        <v>1.03</v>
      </c>
      <c r="F92" s="238">
        <f>(1060)*E92/1000</f>
        <v>1.0917999999999999</v>
      </c>
      <c r="G92" s="238"/>
      <c r="H92" s="83"/>
      <c r="I92" s="84"/>
      <c r="J92" s="83"/>
      <c r="K92" s="84"/>
      <c r="L92" s="83"/>
      <c r="M92" s="84"/>
      <c r="N92" s="84"/>
      <c r="O92" s="129"/>
    </row>
    <row r="93" spans="1:14" ht="18" customHeight="1">
      <c r="A93" s="182"/>
      <c r="B93" s="131"/>
      <c r="C93" s="63" t="s">
        <v>84</v>
      </c>
      <c r="D93" s="5" t="s">
        <v>74</v>
      </c>
      <c r="E93" s="101">
        <f>101.5/100</f>
        <v>1.015</v>
      </c>
      <c r="F93" s="88">
        <f>E93*F88</f>
        <v>17.275299999999998</v>
      </c>
      <c r="G93" s="88"/>
      <c r="H93" s="83"/>
      <c r="I93" s="84"/>
      <c r="J93" s="83"/>
      <c r="K93" s="84"/>
      <c r="L93" s="83"/>
      <c r="M93" s="84"/>
      <c r="N93" s="84"/>
    </row>
    <row r="94" spans="1:14" ht="17.25" customHeight="1">
      <c r="A94" s="136"/>
      <c r="B94" s="131"/>
      <c r="C94" s="128" t="s">
        <v>479</v>
      </c>
      <c r="D94" s="5" t="s">
        <v>74</v>
      </c>
      <c r="E94" s="87">
        <v>1</v>
      </c>
      <c r="F94" s="88">
        <f>F93</f>
        <v>17.275299999999998</v>
      </c>
      <c r="G94" s="88"/>
      <c r="H94" s="83"/>
      <c r="I94" s="84"/>
      <c r="J94" s="83"/>
      <c r="K94" s="84"/>
      <c r="L94" s="83"/>
      <c r="M94" s="84"/>
      <c r="N94" s="84"/>
    </row>
    <row r="95" spans="1:14" ht="18" customHeight="1">
      <c r="A95" s="182"/>
      <c r="B95" s="132"/>
      <c r="C95" s="128" t="s">
        <v>79</v>
      </c>
      <c r="D95" s="5" t="s">
        <v>86</v>
      </c>
      <c r="E95" s="101">
        <f>137*0.01</f>
        <v>1.37</v>
      </c>
      <c r="F95" s="106">
        <f>F88*E95</f>
        <v>23.317400000000003</v>
      </c>
      <c r="G95" s="106"/>
      <c r="H95" s="83"/>
      <c r="I95" s="84"/>
      <c r="J95" s="83"/>
      <c r="K95" s="84"/>
      <c r="L95" s="83"/>
      <c r="M95" s="84"/>
      <c r="N95" s="84"/>
    </row>
    <row r="96" spans="1:14" ht="18" customHeight="1">
      <c r="A96" s="182"/>
      <c r="B96" s="127"/>
      <c r="C96" s="63" t="s">
        <v>80</v>
      </c>
      <c r="D96" s="5" t="s">
        <v>74</v>
      </c>
      <c r="E96" s="101">
        <f>(0.84+2.56+0.26)*0.01</f>
        <v>0.0366</v>
      </c>
      <c r="F96" s="106">
        <f>F88*E96</f>
        <v>0.622932</v>
      </c>
      <c r="G96" s="106"/>
      <c r="H96" s="83"/>
      <c r="I96" s="84"/>
      <c r="J96" s="83"/>
      <c r="K96" s="84"/>
      <c r="L96" s="83"/>
      <c r="M96" s="84"/>
      <c r="N96" s="84"/>
    </row>
    <row r="97" spans="1:14" s="135" customFormat="1" ht="18" customHeight="1">
      <c r="A97" s="96"/>
      <c r="B97" s="96"/>
      <c r="C97" s="133" t="s">
        <v>78</v>
      </c>
      <c r="D97" s="4" t="s">
        <v>138</v>
      </c>
      <c r="E97" s="87">
        <v>7</v>
      </c>
      <c r="F97" s="83">
        <f>SUM(F90:F92)*E97</f>
        <v>13.6269</v>
      </c>
      <c r="G97" s="83"/>
      <c r="H97" s="134"/>
      <c r="I97" s="134"/>
      <c r="J97" s="134"/>
      <c r="K97" s="134"/>
      <c r="L97" s="134"/>
      <c r="M97" s="134"/>
      <c r="N97" s="134"/>
    </row>
    <row r="98" spans="1:15" s="67" customFormat="1" ht="17.25" customHeight="1">
      <c r="A98" s="4"/>
      <c r="B98" s="123"/>
      <c r="C98" s="63" t="s">
        <v>77</v>
      </c>
      <c r="D98" s="5" t="s">
        <v>15</v>
      </c>
      <c r="E98" s="87">
        <f>39*0.01</f>
        <v>0.39</v>
      </c>
      <c r="F98" s="88">
        <f>F88*E98</f>
        <v>6.6378</v>
      </c>
      <c r="G98" s="88"/>
      <c r="H98" s="83"/>
      <c r="I98" s="84"/>
      <c r="J98" s="83"/>
      <c r="K98" s="84"/>
      <c r="L98" s="83"/>
      <c r="M98" s="84"/>
      <c r="N98" s="84"/>
      <c r="O98" s="124"/>
    </row>
    <row r="99" spans="1:14" ht="39" customHeight="1">
      <c r="A99" s="5">
        <f>A88+1</f>
        <v>15</v>
      </c>
      <c r="B99" s="94" t="s">
        <v>22</v>
      </c>
      <c r="C99" s="68" t="s">
        <v>193</v>
      </c>
      <c r="D99" s="69" t="s">
        <v>73</v>
      </c>
      <c r="E99" s="101"/>
      <c r="F99" s="148">
        <v>40.4</v>
      </c>
      <c r="G99" s="148"/>
      <c r="H99" s="83"/>
      <c r="I99" s="84"/>
      <c r="J99" s="83"/>
      <c r="K99" s="84"/>
      <c r="L99" s="83"/>
      <c r="M99" s="84"/>
      <c r="N99" s="84"/>
    </row>
    <row r="100" spans="1:14" ht="18" customHeight="1">
      <c r="A100" s="182"/>
      <c r="B100" s="145"/>
      <c r="C100" s="63" t="s">
        <v>61</v>
      </c>
      <c r="D100" s="5" t="s">
        <v>74</v>
      </c>
      <c r="E100" s="87">
        <v>1</v>
      </c>
      <c r="F100" s="106">
        <f>F99*E100</f>
        <v>40.4</v>
      </c>
      <c r="G100" s="106"/>
      <c r="H100" s="83"/>
      <c r="I100" s="84"/>
      <c r="J100" s="83"/>
      <c r="K100" s="84"/>
      <c r="L100" s="83"/>
      <c r="M100" s="84"/>
      <c r="N100" s="84"/>
    </row>
    <row r="101" spans="1:15" s="67" customFormat="1" ht="18" customHeight="1">
      <c r="A101" s="4"/>
      <c r="B101" s="127"/>
      <c r="C101" s="128" t="s">
        <v>182</v>
      </c>
      <c r="D101" s="5" t="s">
        <v>81</v>
      </c>
      <c r="E101" s="87">
        <v>1.03</v>
      </c>
      <c r="F101" s="237">
        <f>(1425+255)*E101/1000</f>
        <v>1.7304000000000002</v>
      </c>
      <c r="G101" s="237"/>
      <c r="H101" s="83"/>
      <c r="I101" s="84"/>
      <c r="J101" s="83"/>
      <c r="K101" s="84"/>
      <c r="L101" s="83"/>
      <c r="M101" s="84"/>
      <c r="N101" s="84"/>
      <c r="O101" s="124"/>
    </row>
    <row r="102" spans="1:15" s="130" customFormat="1" ht="17.25" customHeight="1">
      <c r="A102" s="109"/>
      <c r="B102" s="127"/>
      <c r="C102" s="128" t="s">
        <v>469</v>
      </c>
      <c r="D102" s="5" t="s">
        <v>81</v>
      </c>
      <c r="E102" s="87">
        <v>1.03</v>
      </c>
      <c r="F102" s="238">
        <f>(2400)*E102/1000</f>
        <v>2.472</v>
      </c>
      <c r="G102" s="238"/>
      <c r="H102" s="83"/>
      <c r="I102" s="84"/>
      <c r="J102" s="83"/>
      <c r="K102" s="84"/>
      <c r="L102" s="83"/>
      <c r="M102" s="84"/>
      <c r="N102" s="84"/>
      <c r="O102" s="129"/>
    </row>
    <row r="103" spans="1:15" s="130" customFormat="1" ht="17.25" customHeight="1">
      <c r="A103" s="109"/>
      <c r="B103" s="127"/>
      <c r="C103" s="128" t="s">
        <v>470</v>
      </c>
      <c r="D103" s="5" t="s">
        <v>81</v>
      </c>
      <c r="E103" s="87">
        <v>1.03</v>
      </c>
      <c r="F103" s="238">
        <f>(2600)*E103/1000</f>
        <v>2.678</v>
      </c>
      <c r="G103" s="238"/>
      <c r="H103" s="83"/>
      <c r="I103" s="84"/>
      <c r="J103" s="83"/>
      <c r="K103" s="84"/>
      <c r="L103" s="83"/>
      <c r="M103" s="84"/>
      <c r="N103" s="84"/>
      <c r="O103" s="129"/>
    </row>
    <row r="104" spans="1:15" s="130" customFormat="1" ht="17.25" customHeight="1">
      <c r="A104" s="109"/>
      <c r="B104" s="127"/>
      <c r="C104" s="128" t="s">
        <v>475</v>
      </c>
      <c r="D104" s="5" t="s">
        <v>81</v>
      </c>
      <c r="E104" s="87">
        <v>1.03</v>
      </c>
      <c r="F104" s="238">
        <f>(640)*E104/1000</f>
        <v>0.6592</v>
      </c>
      <c r="G104" s="238"/>
      <c r="H104" s="83"/>
      <c r="I104" s="84"/>
      <c r="J104" s="83"/>
      <c r="K104" s="84"/>
      <c r="L104" s="83"/>
      <c r="M104" s="84"/>
      <c r="N104" s="84"/>
      <c r="O104" s="129"/>
    </row>
    <row r="105" spans="1:14" ht="17.25" customHeight="1">
      <c r="A105" s="182"/>
      <c r="B105" s="131"/>
      <c r="C105" s="63" t="s">
        <v>84</v>
      </c>
      <c r="D105" s="5" t="s">
        <v>74</v>
      </c>
      <c r="E105" s="87">
        <v>1</v>
      </c>
      <c r="F105" s="88">
        <f>E105*F99</f>
        <v>40.4</v>
      </c>
      <c r="G105" s="88"/>
      <c r="H105" s="83"/>
      <c r="I105" s="84"/>
      <c r="J105" s="83"/>
      <c r="K105" s="84"/>
      <c r="L105" s="83"/>
      <c r="M105" s="84"/>
      <c r="N105" s="84"/>
    </row>
    <row r="106" spans="1:14" ht="17.25" customHeight="1">
      <c r="A106" s="136"/>
      <c r="B106" s="131"/>
      <c r="C106" s="128" t="s">
        <v>479</v>
      </c>
      <c r="D106" s="5" t="s">
        <v>74</v>
      </c>
      <c r="E106" s="87">
        <v>1</v>
      </c>
      <c r="F106" s="88">
        <f>F105</f>
        <v>40.4</v>
      </c>
      <c r="G106" s="88"/>
      <c r="H106" s="83"/>
      <c r="I106" s="84"/>
      <c r="J106" s="83"/>
      <c r="K106" s="84"/>
      <c r="L106" s="83"/>
      <c r="M106" s="84"/>
      <c r="N106" s="84"/>
    </row>
    <row r="107" spans="1:14" ht="18" customHeight="1">
      <c r="A107" s="182"/>
      <c r="B107" s="132"/>
      <c r="C107" s="128" t="s">
        <v>79</v>
      </c>
      <c r="D107" s="5" t="s">
        <v>86</v>
      </c>
      <c r="E107" s="101">
        <f>237*0.01</f>
        <v>2.37</v>
      </c>
      <c r="F107" s="106">
        <f>F99*E107</f>
        <v>95.748</v>
      </c>
      <c r="G107" s="106"/>
      <c r="H107" s="83"/>
      <c r="I107" s="84"/>
      <c r="J107" s="83"/>
      <c r="K107" s="84"/>
      <c r="L107" s="83"/>
      <c r="M107" s="84"/>
      <c r="N107" s="84"/>
    </row>
    <row r="108" spans="1:14" ht="18" customHeight="1">
      <c r="A108" s="182"/>
      <c r="B108" s="127"/>
      <c r="C108" s="63" t="s">
        <v>80</v>
      </c>
      <c r="D108" s="5" t="s">
        <v>74</v>
      </c>
      <c r="E108" s="101">
        <f>(0.22+1.95+0.5)/100</f>
        <v>0.026699999999999998</v>
      </c>
      <c r="F108" s="106">
        <f>E108*F99</f>
        <v>1.0786799999999999</v>
      </c>
      <c r="G108" s="106"/>
      <c r="H108" s="83"/>
      <c r="I108" s="84"/>
      <c r="J108" s="83"/>
      <c r="K108" s="84"/>
      <c r="L108" s="83"/>
      <c r="M108" s="84"/>
      <c r="N108" s="84"/>
    </row>
    <row r="109" spans="1:14" s="135" customFormat="1" ht="18" customHeight="1">
      <c r="A109" s="96"/>
      <c r="B109" s="96"/>
      <c r="C109" s="133" t="s">
        <v>78</v>
      </c>
      <c r="D109" s="4" t="s">
        <v>138</v>
      </c>
      <c r="E109" s="87">
        <v>7</v>
      </c>
      <c r="F109" s="83">
        <f>SUM(F101:F104)*E109</f>
        <v>52.7772</v>
      </c>
      <c r="G109" s="83"/>
      <c r="H109" s="134"/>
      <c r="I109" s="134"/>
      <c r="J109" s="134"/>
      <c r="K109" s="134"/>
      <c r="L109" s="134"/>
      <c r="M109" s="134"/>
      <c r="N109" s="134"/>
    </row>
    <row r="110" spans="1:14" ht="18" customHeight="1">
      <c r="A110" s="182"/>
      <c r="B110" s="145"/>
      <c r="C110" s="128" t="s">
        <v>88</v>
      </c>
      <c r="D110" s="4" t="s">
        <v>138</v>
      </c>
      <c r="E110" s="87">
        <f>0.31/100*1000</f>
        <v>3.1</v>
      </c>
      <c r="F110" s="106">
        <f>F99*E110</f>
        <v>125.24</v>
      </c>
      <c r="G110" s="106"/>
      <c r="H110" s="83"/>
      <c r="I110" s="84"/>
      <c r="J110" s="83"/>
      <c r="K110" s="84"/>
      <c r="L110" s="83"/>
      <c r="M110" s="84"/>
      <c r="N110" s="84"/>
    </row>
    <row r="111" spans="1:15" s="67" customFormat="1" ht="17.25" customHeight="1">
      <c r="A111" s="4"/>
      <c r="B111" s="123"/>
      <c r="C111" s="63" t="s">
        <v>77</v>
      </c>
      <c r="D111" s="5" t="s">
        <v>15</v>
      </c>
      <c r="E111" s="101">
        <f>87*0.01</f>
        <v>0.87</v>
      </c>
      <c r="F111" s="88">
        <f>F99*E111</f>
        <v>35.147999999999996</v>
      </c>
      <c r="G111" s="88"/>
      <c r="H111" s="83"/>
      <c r="I111" s="84"/>
      <c r="J111" s="83"/>
      <c r="K111" s="84"/>
      <c r="L111" s="83"/>
      <c r="M111" s="84"/>
      <c r="N111" s="84"/>
      <c r="O111" s="124"/>
    </row>
    <row r="112" spans="1:14" ht="39" customHeight="1">
      <c r="A112" s="5">
        <f>A99+1</f>
        <v>16</v>
      </c>
      <c r="B112" s="94" t="s">
        <v>22</v>
      </c>
      <c r="C112" s="68" t="s">
        <v>194</v>
      </c>
      <c r="D112" s="69" t="s">
        <v>73</v>
      </c>
      <c r="E112" s="101"/>
      <c r="F112" s="148">
        <v>6.65</v>
      </c>
      <c r="G112" s="148"/>
      <c r="H112" s="83"/>
      <c r="I112" s="84"/>
      <c r="J112" s="83"/>
      <c r="K112" s="84"/>
      <c r="L112" s="83"/>
      <c r="M112" s="84"/>
      <c r="N112" s="84"/>
    </row>
    <row r="113" spans="1:14" ht="18" customHeight="1">
      <c r="A113" s="182"/>
      <c r="B113" s="145"/>
      <c r="C113" s="63" t="s">
        <v>61</v>
      </c>
      <c r="D113" s="5" t="s">
        <v>74</v>
      </c>
      <c r="E113" s="87">
        <v>1</v>
      </c>
      <c r="F113" s="106">
        <f>F112*E113</f>
        <v>6.65</v>
      </c>
      <c r="G113" s="106"/>
      <c r="H113" s="83"/>
      <c r="I113" s="84"/>
      <c r="J113" s="83"/>
      <c r="K113" s="84"/>
      <c r="L113" s="83"/>
      <c r="M113" s="84"/>
      <c r="N113" s="84"/>
    </row>
    <row r="114" spans="1:15" s="67" customFormat="1" ht="18" customHeight="1">
      <c r="A114" s="4"/>
      <c r="B114" s="127"/>
      <c r="C114" s="128" t="s">
        <v>182</v>
      </c>
      <c r="D114" s="5" t="s">
        <v>81</v>
      </c>
      <c r="E114" s="87">
        <v>1.03</v>
      </c>
      <c r="F114" s="237">
        <f>(240)*E114/1000</f>
        <v>0.24720000000000003</v>
      </c>
      <c r="G114" s="237"/>
      <c r="H114" s="83"/>
      <c r="I114" s="84"/>
      <c r="J114" s="83"/>
      <c r="K114" s="84"/>
      <c r="L114" s="83"/>
      <c r="M114" s="84"/>
      <c r="N114" s="84"/>
      <c r="O114" s="124"/>
    </row>
    <row r="115" spans="1:15" s="130" customFormat="1" ht="17.25" customHeight="1">
      <c r="A115" s="109"/>
      <c r="B115" s="127"/>
      <c r="C115" s="128" t="s">
        <v>469</v>
      </c>
      <c r="D115" s="5" t="s">
        <v>81</v>
      </c>
      <c r="E115" s="87">
        <v>1.03</v>
      </c>
      <c r="F115" s="238">
        <f>(300)*E115/1000</f>
        <v>0.309</v>
      </c>
      <c r="G115" s="238"/>
      <c r="H115" s="83"/>
      <c r="I115" s="84"/>
      <c r="J115" s="83"/>
      <c r="K115" s="84"/>
      <c r="L115" s="83"/>
      <c r="M115" s="84"/>
      <c r="N115" s="84"/>
      <c r="O115" s="129"/>
    </row>
    <row r="116" spans="1:15" s="130" customFormat="1" ht="17.25" customHeight="1">
      <c r="A116" s="109"/>
      <c r="B116" s="127"/>
      <c r="C116" s="128" t="s">
        <v>475</v>
      </c>
      <c r="D116" s="5" t="s">
        <v>81</v>
      </c>
      <c r="E116" s="87">
        <v>1.03</v>
      </c>
      <c r="F116" s="238">
        <f>(5900)*E116/1000</f>
        <v>6.077</v>
      </c>
      <c r="G116" s="238"/>
      <c r="H116" s="83"/>
      <c r="I116" s="84"/>
      <c r="J116" s="83"/>
      <c r="K116" s="84"/>
      <c r="L116" s="83"/>
      <c r="M116" s="84"/>
      <c r="N116" s="84"/>
      <c r="O116" s="129"/>
    </row>
    <row r="117" spans="1:14" ht="17.25" customHeight="1">
      <c r="A117" s="182"/>
      <c r="B117" s="131"/>
      <c r="C117" s="63" t="s">
        <v>84</v>
      </c>
      <c r="D117" s="5" t="s">
        <v>74</v>
      </c>
      <c r="E117" s="87">
        <v>1</v>
      </c>
      <c r="F117" s="88">
        <f>E117*F112</f>
        <v>6.65</v>
      </c>
      <c r="G117" s="88"/>
      <c r="H117" s="83"/>
      <c r="I117" s="84"/>
      <c r="J117" s="83"/>
      <c r="K117" s="84"/>
      <c r="L117" s="83"/>
      <c r="M117" s="84"/>
      <c r="N117" s="84"/>
    </row>
    <row r="118" spans="1:14" ht="17.25" customHeight="1">
      <c r="A118" s="136"/>
      <c r="B118" s="131"/>
      <c r="C118" s="128" t="s">
        <v>479</v>
      </c>
      <c r="D118" s="5" t="s">
        <v>74</v>
      </c>
      <c r="E118" s="87">
        <v>1</v>
      </c>
      <c r="F118" s="88">
        <f>F117</f>
        <v>6.65</v>
      </c>
      <c r="G118" s="88"/>
      <c r="H118" s="83"/>
      <c r="I118" s="84"/>
      <c r="J118" s="83"/>
      <c r="K118" s="84"/>
      <c r="L118" s="83"/>
      <c r="M118" s="84"/>
      <c r="N118" s="84"/>
    </row>
    <row r="119" spans="1:14" ht="18" customHeight="1">
      <c r="A119" s="182"/>
      <c r="B119" s="132"/>
      <c r="C119" s="128" t="s">
        <v>79</v>
      </c>
      <c r="D119" s="5" t="s">
        <v>86</v>
      </c>
      <c r="E119" s="101">
        <f>237*0.01</f>
        <v>2.37</v>
      </c>
      <c r="F119" s="106">
        <f>F112*E119</f>
        <v>15.760500000000002</v>
      </c>
      <c r="G119" s="106"/>
      <c r="H119" s="83"/>
      <c r="I119" s="84"/>
      <c r="J119" s="83"/>
      <c r="K119" s="84"/>
      <c r="L119" s="83"/>
      <c r="M119" s="84"/>
      <c r="N119" s="84"/>
    </row>
    <row r="120" spans="1:14" ht="18" customHeight="1">
      <c r="A120" s="182"/>
      <c r="B120" s="127"/>
      <c r="C120" s="63" t="s">
        <v>80</v>
      </c>
      <c r="D120" s="5" t="s">
        <v>74</v>
      </c>
      <c r="E120" s="101">
        <f>(0.22+1.95+0.5)/100</f>
        <v>0.026699999999999998</v>
      </c>
      <c r="F120" s="106">
        <f>E120*F112</f>
        <v>0.177555</v>
      </c>
      <c r="G120" s="106"/>
      <c r="H120" s="83"/>
      <c r="I120" s="84"/>
      <c r="J120" s="83"/>
      <c r="K120" s="84"/>
      <c r="L120" s="83"/>
      <c r="M120" s="84"/>
      <c r="N120" s="84"/>
    </row>
    <row r="121" spans="1:14" s="135" customFormat="1" ht="18" customHeight="1">
      <c r="A121" s="96"/>
      <c r="B121" s="96"/>
      <c r="C121" s="133" t="s">
        <v>78</v>
      </c>
      <c r="D121" s="4" t="s">
        <v>138</v>
      </c>
      <c r="E121" s="87">
        <v>7</v>
      </c>
      <c r="F121" s="83">
        <f>SUM(F114:F116)*E121</f>
        <v>46.4324</v>
      </c>
      <c r="G121" s="83"/>
      <c r="H121" s="134"/>
      <c r="I121" s="134"/>
      <c r="J121" s="134"/>
      <c r="K121" s="134"/>
      <c r="L121" s="134"/>
      <c r="M121" s="134"/>
      <c r="N121" s="134"/>
    </row>
    <row r="122" spans="1:14" ht="18" customHeight="1">
      <c r="A122" s="182"/>
      <c r="B122" s="145"/>
      <c r="C122" s="128" t="s">
        <v>88</v>
      </c>
      <c r="D122" s="4" t="s">
        <v>138</v>
      </c>
      <c r="E122" s="87">
        <f>0.31/100*1000</f>
        <v>3.1</v>
      </c>
      <c r="F122" s="106">
        <f>F112*E122</f>
        <v>20.615000000000002</v>
      </c>
      <c r="G122" s="106"/>
      <c r="H122" s="83"/>
      <c r="I122" s="84"/>
      <c r="J122" s="83"/>
      <c r="K122" s="84"/>
      <c r="L122" s="83"/>
      <c r="M122" s="84"/>
      <c r="N122" s="84"/>
    </row>
    <row r="123" spans="1:15" s="67" customFormat="1" ht="17.25" customHeight="1">
      <c r="A123" s="4"/>
      <c r="B123" s="123"/>
      <c r="C123" s="63" t="s">
        <v>77</v>
      </c>
      <c r="D123" s="5" t="s">
        <v>15</v>
      </c>
      <c r="E123" s="101">
        <f>87*0.01</f>
        <v>0.87</v>
      </c>
      <c r="F123" s="88">
        <f>F112*E123</f>
        <v>5.7855</v>
      </c>
      <c r="G123" s="88"/>
      <c r="H123" s="83"/>
      <c r="I123" s="84"/>
      <c r="J123" s="83"/>
      <c r="K123" s="84"/>
      <c r="L123" s="83"/>
      <c r="M123" s="84"/>
      <c r="N123" s="84"/>
      <c r="O123" s="124"/>
    </row>
    <row r="124" spans="1:15" s="61" customFormat="1" ht="21" customHeight="1">
      <c r="A124" s="5">
        <f>A112+1</f>
        <v>17</v>
      </c>
      <c r="B124" s="94" t="s">
        <v>37</v>
      </c>
      <c r="C124" s="68" t="s">
        <v>89</v>
      </c>
      <c r="D124" s="69" t="s">
        <v>87</v>
      </c>
      <c r="E124" s="101"/>
      <c r="F124" s="148">
        <v>120</v>
      </c>
      <c r="G124" s="148"/>
      <c r="H124" s="83"/>
      <c r="I124" s="84"/>
      <c r="J124" s="83"/>
      <c r="K124" s="84"/>
      <c r="L124" s="83"/>
      <c r="M124" s="84"/>
      <c r="N124" s="84"/>
      <c r="O124" s="23"/>
    </row>
    <row r="125" spans="1:14" s="67" customFormat="1" ht="17.25" customHeight="1">
      <c r="A125" s="4"/>
      <c r="B125" s="123"/>
      <c r="C125" s="63" t="s">
        <v>61</v>
      </c>
      <c r="D125" s="5" t="s">
        <v>86</v>
      </c>
      <c r="E125" s="87">
        <v>1</v>
      </c>
      <c r="F125" s="106">
        <f>F124*E125</f>
        <v>120</v>
      </c>
      <c r="G125" s="106"/>
      <c r="H125" s="83"/>
      <c r="I125" s="84"/>
      <c r="J125" s="83"/>
      <c r="K125" s="84"/>
      <c r="L125" s="83"/>
      <c r="M125" s="84"/>
      <c r="N125" s="84"/>
    </row>
    <row r="126" spans="1:15" s="67" customFormat="1" ht="17.25" customHeight="1">
      <c r="A126" s="4"/>
      <c r="B126" s="145"/>
      <c r="C126" s="128" t="s">
        <v>158</v>
      </c>
      <c r="D126" s="4" t="s">
        <v>138</v>
      </c>
      <c r="E126" s="87">
        <v>2</v>
      </c>
      <c r="F126" s="88">
        <f>E126*F124</f>
        <v>240</v>
      </c>
      <c r="G126" s="88"/>
      <c r="H126" s="83"/>
      <c r="I126" s="84"/>
      <c r="J126" s="83"/>
      <c r="K126" s="84"/>
      <c r="L126" s="83"/>
      <c r="M126" s="84"/>
      <c r="N126" s="84"/>
      <c r="O126" s="414" t="s">
        <v>483</v>
      </c>
    </row>
    <row r="127" spans="1:14" s="67" customFormat="1" ht="17.25" customHeight="1">
      <c r="A127" s="4"/>
      <c r="B127" s="123"/>
      <c r="C127" s="63" t="s">
        <v>77</v>
      </c>
      <c r="D127" s="5" t="s">
        <v>15</v>
      </c>
      <c r="E127" s="101">
        <f>7.68*0.01*0.5</f>
        <v>0.0384</v>
      </c>
      <c r="F127" s="88">
        <f>F124*E127</f>
        <v>4.608</v>
      </c>
      <c r="G127" s="88"/>
      <c r="H127" s="83"/>
      <c r="I127" s="84"/>
      <c r="J127" s="83"/>
      <c r="K127" s="84"/>
      <c r="L127" s="83"/>
      <c r="M127" s="84"/>
      <c r="N127" s="84"/>
    </row>
    <row r="128" spans="1:14" ht="39" customHeight="1">
      <c r="A128" s="5">
        <f>A124+1</f>
        <v>18</v>
      </c>
      <c r="B128" s="94" t="s">
        <v>25</v>
      </c>
      <c r="C128" s="68" t="s">
        <v>90</v>
      </c>
      <c r="D128" s="69" t="s">
        <v>73</v>
      </c>
      <c r="E128" s="101"/>
      <c r="F128" s="148">
        <f>210*0.2*0.2</f>
        <v>8.4</v>
      </c>
      <c r="G128" s="148"/>
      <c r="H128" s="83"/>
      <c r="I128" s="84"/>
      <c r="J128" s="83"/>
      <c r="K128" s="84"/>
      <c r="L128" s="83"/>
      <c r="M128" s="84"/>
      <c r="N128" s="84"/>
    </row>
    <row r="129" spans="1:14" ht="18" customHeight="1">
      <c r="A129" s="182"/>
      <c r="B129" s="145"/>
      <c r="C129" s="63" t="s">
        <v>61</v>
      </c>
      <c r="D129" s="5" t="s">
        <v>74</v>
      </c>
      <c r="E129" s="87">
        <v>1</v>
      </c>
      <c r="F129" s="106">
        <f>F128*E129</f>
        <v>8.4</v>
      </c>
      <c r="G129" s="106"/>
      <c r="H129" s="83"/>
      <c r="I129" s="84"/>
      <c r="J129" s="83"/>
      <c r="K129" s="84"/>
      <c r="L129" s="83"/>
      <c r="M129" s="84"/>
      <c r="N129" s="84"/>
    </row>
    <row r="130" spans="1:15" s="67" customFormat="1" ht="18" customHeight="1">
      <c r="A130" s="4"/>
      <c r="B130" s="127"/>
      <c r="C130" s="128" t="s">
        <v>182</v>
      </c>
      <c r="D130" s="5" t="s">
        <v>81</v>
      </c>
      <c r="E130" s="101">
        <v>1.03</v>
      </c>
      <c r="F130" s="237">
        <f>(210*0.6*5*0.4)*E130/1000</f>
        <v>0.25956</v>
      </c>
      <c r="G130" s="237"/>
      <c r="H130" s="83"/>
      <c r="I130" s="84"/>
      <c r="J130" s="83"/>
      <c r="K130" s="84"/>
      <c r="L130" s="83"/>
      <c r="M130" s="84"/>
      <c r="N130" s="84"/>
      <c r="O130" s="124"/>
    </row>
    <row r="131" spans="1:15" s="130" customFormat="1" ht="17.25" customHeight="1">
      <c r="A131" s="109"/>
      <c r="B131" s="127"/>
      <c r="C131" s="128" t="s">
        <v>183</v>
      </c>
      <c r="D131" s="5" t="s">
        <v>81</v>
      </c>
      <c r="E131" s="101">
        <v>1.03</v>
      </c>
      <c r="F131" s="238">
        <f>(210*4*0.62)*E131/1000</f>
        <v>0.536424</v>
      </c>
      <c r="G131" s="238"/>
      <c r="H131" s="83"/>
      <c r="I131" s="84"/>
      <c r="J131" s="83"/>
      <c r="K131" s="84"/>
      <c r="L131" s="83"/>
      <c r="M131" s="84"/>
      <c r="N131" s="84"/>
      <c r="O131" s="129"/>
    </row>
    <row r="132" spans="1:14" ht="17.25" customHeight="1">
      <c r="A132" s="182"/>
      <c r="B132" s="131"/>
      <c r="C132" s="63" t="s">
        <v>84</v>
      </c>
      <c r="D132" s="5" t="s">
        <v>74</v>
      </c>
      <c r="E132" s="101">
        <f>101.5/100</f>
        <v>1.015</v>
      </c>
      <c r="F132" s="88">
        <f>E132*F128</f>
        <v>8.526</v>
      </c>
      <c r="G132" s="88"/>
      <c r="H132" s="83"/>
      <c r="I132" s="84"/>
      <c r="J132" s="83"/>
      <c r="K132" s="84"/>
      <c r="L132" s="83"/>
      <c r="M132" s="84"/>
      <c r="N132" s="84"/>
    </row>
    <row r="133" spans="1:14" ht="17.25" customHeight="1">
      <c r="A133" s="136"/>
      <c r="B133" s="131"/>
      <c r="C133" s="128" t="s">
        <v>479</v>
      </c>
      <c r="D133" s="5" t="s">
        <v>74</v>
      </c>
      <c r="E133" s="87">
        <v>1</v>
      </c>
      <c r="F133" s="88">
        <f>F132</f>
        <v>8.526</v>
      </c>
      <c r="G133" s="88"/>
      <c r="H133" s="83"/>
      <c r="I133" s="84"/>
      <c r="J133" s="83"/>
      <c r="K133" s="84"/>
      <c r="L133" s="83"/>
      <c r="M133" s="84"/>
      <c r="N133" s="84"/>
    </row>
    <row r="134" spans="1:14" ht="18" customHeight="1">
      <c r="A134" s="182"/>
      <c r="B134" s="132"/>
      <c r="C134" s="128" t="s">
        <v>79</v>
      </c>
      <c r="D134" s="5" t="s">
        <v>86</v>
      </c>
      <c r="E134" s="101">
        <v>1.4</v>
      </c>
      <c r="F134" s="106">
        <f>F128*E134</f>
        <v>11.76</v>
      </c>
      <c r="G134" s="106"/>
      <c r="H134" s="83"/>
      <c r="I134" s="84"/>
      <c r="J134" s="83"/>
      <c r="K134" s="84"/>
      <c r="L134" s="83"/>
      <c r="M134" s="84"/>
      <c r="N134" s="84"/>
    </row>
    <row r="135" spans="1:14" ht="18" customHeight="1">
      <c r="A135" s="182"/>
      <c r="B135" s="127"/>
      <c r="C135" s="63" t="s">
        <v>80</v>
      </c>
      <c r="D135" s="5" t="s">
        <v>74</v>
      </c>
      <c r="E135" s="101">
        <f>1.45/100</f>
        <v>0.014499999999999999</v>
      </c>
      <c r="F135" s="106">
        <f>E135*F128</f>
        <v>0.12179999999999999</v>
      </c>
      <c r="G135" s="106"/>
      <c r="H135" s="83"/>
      <c r="I135" s="84"/>
      <c r="J135" s="83"/>
      <c r="K135" s="84"/>
      <c r="L135" s="83"/>
      <c r="M135" s="84"/>
      <c r="N135" s="84"/>
    </row>
    <row r="136" spans="1:14" s="135" customFormat="1" ht="18" customHeight="1">
      <c r="A136" s="96"/>
      <c r="B136" s="96"/>
      <c r="C136" s="133" t="s">
        <v>78</v>
      </c>
      <c r="D136" s="4" t="s">
        <v>138</v>
      </c>
      <c r="E136" s="101">
        <v>7</v>
      </c>
      <c r="F136" s="83">
        <f>SUM(F130:F131)*E136</f>
        <v>5.571888</v>
      </c>
      <c r="G136" s="83"/>
      <c r="H136" s="134"/>
      <c r="I136" s="134"/>
      <c r="J136" s="134"/>
      <c r="K136" s="134"/>
      <c r="L136" s="134"/>
      <c r="M136" s="134"/>
      <c r="N136" s="134"/>
    </row>
    <row r="137" spans="1:14" ht="18" customHeight="1">
      <c r="A137" s="182"/>
      <c r="B137" s="145"/>
      <c r="C137" s="128" t="s">
        <v>88</v>
      </c>
      <c r="D137" s="4" t="s">
        <v>138</v>
      </c>
      <c r="E137" s="101">
        <f>0.25/100*1000</f>
        <v>2.5</v>
      </c>
      <c r="F137" s="106">
        <f>F128*E137</f>
        <v>21</v>
      </c>
      <c r="G137" s="106"/>
      <c r="H137" s="83"/>
      <c r="I137" s="84"/>
      <c r="J137" s="83"/>
      <c r="K137" s="84"/>
      <c r="L137" s="83"/>
      <c r="M137" s="84"/>
      <c r="N137" s="84"/>
    </row>
    <row r="138" spans="1:15" s="67" customFormat="1" ht="17.25" customHeight="1">
      <c r="A138" s="4"/>
      <c r="B138" s="123"/>
      <c r="C138" s="63" t="s">
        <v>77</v>
      </c>
      <c r="D138" s="5" t="s">
        <v>15</v>
      </c>
      <c r="E138" s="101">
        <v>0.74</v>
      </c>
      <c r="F138" s="88">
        <f>F128*E138</f>
        <v>6.216</v>
      </c>
      <c r="G138" s="88"/>
      <c r="H138" s="83"/>
      <c r="I138" s="84"/>
      <c r="J138" s="83"/>
      <c r="K138" s="84"/>
      <c r="L138" s="83"/>
      <c r="M138" s="84"/>
      <c r="N138" s="84"/>
      <c r="O138" s="124"/>
    </row>
    <row r="139" spans="1:14" ht="39" customHeight="1">
      <c r="A139" s="5">
        <f>A128+1</f>
        <v>19</v>
      </c>
      <c r="B139" s="94" t="s">
        <v>26</v>
      </c>
      <c r="C139" s="68" t="s">
        <v>161</v>
      </c>
      <c r="D139" s="69" t="s">
        <v>73</v>
      </c>
      <c r="E139" s="101"/>
      <c r="F139" s="148">
        <v>2.1</v>
      </c>
      <c r="G139" s="148"/>
      <c r="H139" s="83"/>
      <c r="I139" s="84"/>
      <c r="J139" s="83"/>
      <c r="K139" s="84"/>
      <c r="L139" s="83"/>
      <c r="M139" s="84"/>
      <c r="N139" s="84"/>
    </row>
    <row r="140" spans="1:14" ht="18" customHeight="1">
      <c r="A140" s="136"/>
      <c r="B140" s="145"/>
      <c r="C140" s="63" t="s">
        <v>61</v>
      </c>
      <c r="D140" s="5" t="s">
        <v>74</v>
      </c>
      <c r="E140" s="87">
        <v>1</v>
      </c>
      <c r="F140" s="106">
        <f>F139*E140</f>
        <v>2.1</v>
      </c>
      <c r="G140" s="106"/>
      <c r="H140" s="83"/>
      <c r="I140" s="84"/>
      <c r="J140" s="83"/>
      <c r="K140" s="84"/>
      <c r="L140" s="83"/>
      <c r="M140" s="84"/>
      <c r="N140" s="84"/>
    </row>
    <row r="141" spans="1:15" s="67" customFormat="1" ht="17.25" customHeight="1">
      <c r="A141" s="4"/>
      <c r="B141" s="127"/>
      <c r="C141" s="128" t="s">
        <v>182</v>
      </c>
      <c r="D141" s="5" t="s">
        <v>81</v>
      </c>
      <c r="E141" s="101">
        <v>1.03</v>
      </c>
      <c r="F141" s="184">
        <f>(5*F139)*E141/1000</f>
        <v>0.010815</v>
      </c>
      <c r="G141" s="184"/>
      <c r="H141" s="83"/>
      <c r="I141" s="84"/>
      <c r="J141" s="83"/>
      <c r="K141" s="84"/>
      <c r="L141" s="83"/>
      <c r="M141" s="84"/>
      <c r="N141" s="84"/>
      <c r="O141" s="124"/>
    </row>
    <row r="142" spans="1:15" s="67" customFormat="1" ht="17.25" customHeight="1">
      <c r="A142" s="4"/>
      <c r="B142" s="127"/>
      <c r="C142" s="128" t="s">
        <v>183</v>
      </c>
      <c r="D142" s="5" t="s">
        <v>81</v>
      </c>
      <c r="E142" s="101">
        <v>1.03</v>
      </c>
      <c r="F142" s="184">
        <f>(100*F139)*E142/1000</f>
        <v>0.21630000000000002</v>
      </c>
      <c r="G142" s="184"/>
      <c r="H142" s="83"/>
      <c r="I142" s="84"/>
      <c r="J142" s="83"/>
      <c r="K142" s="84"/>
      <c r="L142" s="83"/>
      <c r="M142" s="84"/>
      <c r="N142" s="84"/>
      <c r="O142" s="124"/>
    </row>
    <row r="143" spans="1:14" ht="17.25" customHeight="1">
      <c r="A143" s="136"/>
      <c r="B143" s="131"/>
      <c r="C143" s="63" t="s">
        <v>84</v>
      </c>
      <c r="D143" s="5" t="s">
        <v>74</v>
      </c>
      <c r="E143" s="101">
        <f>101.5/100</f>
        <v>1.015</v>
      </c>
      <c r="F143" s="88">
        <f>E143*F139</f>
        <v>2.1315</v>
      </c>
      <c r="G143" s="88"/>
      <c r="H143" s="83"/>
      <c r="I143" s="84"/>
      <c r="J143" s="83"/>
      <c r="K143" s="84"/>
      <c r="L143" s="83"/>
      <c r="M143" s="84"/>
      <c r="N143" s="84"/>
    </row>
    <row r="144" spans="1:14" ht="17.25" customHeight="1">
      <c r="A144" s="136"/>
      <c r="B144" s="131"/>
      <c r="C144" s="128" t="s">
        <v>479</v>
      </c>
      <c r="D144" s="5" t="s">
        <v>74</v>
      </c>
      <c r="E144" s="87">
        <v>1</v>
      </c>
      <c r="F144" s="88">
        <f>F143</f>
        <v>2.1315</v>
      </c>
      <c r="G144" s="88"/>
      <c r="H144" s="83"/>
      <c r="I144" s="84"/>
      <c r="J144" s="83"/>
      <c r="K144" s="84"/>
      <c r="L144" s="83"/>
      <c r="M144" s="84"/>
      <c r="N144" s="84"/>
    </row>
    <row r="145" spans="1:14" ht="18" customHeight="1">
      <c r="A145" s="136"/>
      <c r="B145" s="132"/>
      <c r="C145" s="128" t="s">
        <v>79</v>
      </c>
      <c r="D145" s="5" t="s">
        <v>86</v>
      </c>
      <c r="E145" s="101">
        <v>2.9</v>
      </c>
      <c r="F145" s="106">
        <f>F139*E145</f>
        <v>6.09</v>
      </c>
      <c r="G145" s="106"/>
      <c r="H145" s="83"/>
      <c r="I145" s="84"/>
      <c r="J145" s="83"/>
      <c r="K145" s="84"/>
      <c r="L145" s="83"/>
      <c r="M145" s="84"/>
      <c r="N145" s="84"/>
    </row>
    <row r="146" spans="1:14" ht="18" customHeight="1">
      <c r="A146" s="136"/>
      <c r="B146" s="127"/>
      <c r="C146" s="63" t="s">
        <v>80</v>
      </c>
      <c r="D146" s="5" t="s">
        <v>74</v>
      </c>
      <c r="E146" s="101">
        <f>3.78/100</f>
        <v>0.0378</v>
      </c>
      <c r="F146" s="106">
        <f>E146*F139</f>
        <v>0.07938</v>
      </c>
      <c r="G146" s="106"/>
      <c r="H146" s="83"/>
      <c r="I146" s="84"/>
      <c r="J146" s="83"/>
      <c r="K146" s="84"/>
      <c r="L146" s="83"/>
      <c r="M146" s="84"/>
      <c r="N146" s="84"/>
    </row>
    <row r="147" spans="1:14" s="135" customFormat="1" ht="18" customHeight="1">
      <c r="A147" s="96"/>
      <c r="B147" s="96"/>
      <c r="C147" s="133" t="s">
        <v>78</v>
      </c>
      <c r="D147" s="4" t="s">
        <v>138</v>
      </c>
      <c r="E147" s="105">
        <v>7</v>
      </c>
      <c r="F147" s="83">
        <f>SUM(F141:F142)*E147</f>
        <v>1.5898050000000001</v>
      </c>
      <c r="G147" s="83"/>
      <c r="H147" s="134"/>
      <c r="I147" s="134"/>
      <c r="J147" s="134"/>
      <c r="K147" s="134"/>
      <c r="L147" s="134"/>
      <c r="M147" s="134"/>
      <c r="N147" s="134"/>
    </row>
    <row r="148" spans="1:14" ht="18" customHeight="1">
      <c r="A148" s="136"/>
      <c r="B148" s="145"/>
      <c r="C148" s="128" t="s">
        <v>88</v>
      </c>
      <c r="D148" s="4" t="s">
        <v>138</v>
      </c>
      <c r="E148" s="87">
        <f>0.23/100*1000</f>
        <v>2.3</v>
      </c>
      <c r="F148" s="106">
        <f>F139*E148</f>
        <v>4.83</v>
      </c>
      <c r="G148" s="106"/>
      <c r="H148" s="83"/>
      <c r="I148" s="84"/>
      <c r="J148" s="83"/>
      <c r="K148" s="84"/>
      <c r="L148" s="83"/>
      <c r="M148" s="84"/>
      <c r="N148" s="84"/>
    </row>
    <row r="149" spans="1:15" s="67" customFormat="1" ht="17.25" customHeight="1">
      <c r="A149" s="4"/>
      <c r="B149" s="123"/>
      <c r="C149" s="63" t="s">
        <v>77</v>
      </c>
      <c r="D149" s="5" t="s">
        <v>15</v>
      </c>
      <c r="E149" s="101">
        <f>95/100</f>
        <v>0.95</v>
      </c>
      <c r="F149" s="88">
        <f>F139*E149</f>
        <v>1.9949999999999999</v>
      </c>
      <c r="G149" s="88"/>
      <c r="H149" s="83"/>
      <c r="I149" s="84"/>
      <c r="J149" s="83"/>
      <c r="K149" s="84"/>
      <c r="L149" s="83"/>
      <c r="M149" s="84"/>
      <c r="N149" s="84"/>
      <c r="O149" s="124"/>
    </row>
    <row r="150" spans="1:15" s="46" customFormat="1" ht="18" customHeight="1">
      <c r="A150" s="38"/>
      <c r="B150" s="141"/>
      <c r="C150" s="39" t="s">
        <v>467</v>
      </c>
      <c r="D150" s="40"/>
      <c r="E150" s="101"/>
      <c r="F150" s="42"/>
      <c r="G150" s="42"/>
      <c r="H150" s="83"/>
      <c r="I150" s="84"/>
      <c r="J150" s="83"/>
      <c r="K150" s="84"/>
      <c r="L150" s="83"/>
      <c r="M150" s="84"/>
      <c r="N150" s="84"/>
      <c r="O150" s="45"/>
    </row>
    <row r="151" spans="1:15" s="61" customFormat="1" ht="39" customHeight="1">
      <c r="A151" s="5">
        <f>A139+1</f>
        <v>20</v>
      </c>
      <c r="B151" s="94" t="s">
        <v>4</v>
      </c>
      <c r="C151" s="68" t="s">
        <v>85</v>
      </c>
      <c r="D151" s="69" t="s">
        <v>73</v>
      </c>
      <c r="E151" s="100"/>
      <c r="F151" s="147">
        <v>5.8</v>
      </c>
      <c r="G151" s="147"/>
      <c r="H151" s="83"/>
      <c r="I151" s="84"/>
      <c r="J151" s="83"/>
      <c r="K151" s="84"/>
      <c r="L151" s="83"/>
      <c r="M151" s="84"/>
      <c r="N151" s="84"/>
      <c r="O151" s="122"/>
    </row>
    <row r="152" spans="1:15" s="67" customFormat="1" ht="18" customHeight="1">
      <c r="A152" s="4"/>
      <c r="B152" s="123"/>
      <c r="C152" s="63" t="s">
        <v>61</v>
      </c>
      <c r="D152" s="5" t="s">
        <v>74</v>
      </c>
      <c r="E152" s="87">
        <v>1</v>
      </c>
      <c r="F152" s="88">
        <f>E152*F151</f>
        <v>5.8</v>
      </c>
      <c r="G152" s="88"/>
      <c r="H152" s="83"/>
      <c r="I152" s="84"/>
      <c r="J152" s="83"/>
      <c r="K152" s="84"/>
      <c r="L152" s="83"/>
      <c r="M152" s="84"/>
      <c r="N152" s="84"/>
      <c r="O152" s="124"/>
    </row>
    <row r="153" spans="1:15" s="67" customFormat="1" ht="18" customHeight="1">
      <c r="A153" s="4"/>
      <c r="B153" s="123"/>
      <c r="C153" s="128" t="s">
        <v>83</v>
      </c>
      <c r="D153" s="5" t="s">
        <v>74</v>
      </c>
      <c r="E153" s="101">
        <v>1.02</v>
      </c>
      <c r="F153" s="88">
        <f>E153*F151</f>
        <v>5.9159999999999995</v>
      </c>
      <c r="G153" s="88"/>
      <c r="H153" s="83"/>
      <c r="I153" s="84"/>
      <c r="J153" s="83"/>
      <c r="K153" s="84"/>
      <c r="L153" s="83"/>
      <c r="M153" s="84"/>
      <c r="N153" s="84"/>
      <c r="O153" s="124"/>
    </row>
    <row r="154" spans="1:15" s="67" customFormat="1" ht="18" customHeight="1">
      <c r="A154" s="4"/>
      <c r="B154" s="123"/>
      <c r="C154" s="63" t="s">
        <v>77</v>
      </c>
      <c r="D154" s="5" t="s">
        <v>15</v>
      </c>
      <c r="E154" s="87">
        <v>0.62</v>
      </c>
      <c r="F154" s="88">
        <f>F151*E154</f>
        <v>3.596</v>
      </c>
      <c r="G154" s="88"/>
      <c r="H154" s="83"/>
      <c r="I154" s="84"/>
      <c r="J154" s="83"/>
      <c r="K154" s="84"/>
      <c r="L154" s="83"/>
      <c r="M154" s="84"/>
      <c r="N154" s="84"/>
      <c r="O154" s="124"/>
    </row>
    <row r="155" spans="1:14" s="236" customFormat="1" ht="54" customHeight="1">
      <c r="A155" s="222">
        <f>A151+1</f>
        <v>21</v>
      </c>
      <c r="B155" s="223" t="s">
        <v>24</v>
      </c>
      <c r="C155" s="68" t="s">
        <v>468</v>
      </c>
      <c r="D155" s="69" t="s">
        <v>73</v>
      </c>
      <c r="E155" s="69"/>
      <c r="F155" s="148">
        <f>SUM(F162:F164)</f>
        <v>60.42999999999999</v>
      </c>
      <c r="G155" s="148"/>
      <c r="H155" s="83"/>
      <c r="I155" s="84"/>
      <c r="J155" s="83"/>
      <c r="K155" s="84"/>
      <c r="L155" s="83"/>
      <c r="M155" s="84"/>
      <c r="N155" s="84"/>
    </row>
    <row r="156" spans="1:15" s="236" customFormat="1" ht="18" customHeight="1">
      <c r="A156" s="235"/>
      <c r="B156" s="235"/>
      <c r="C156" s="63" t="s">
        <v>61</v>
      </c>
      <c r="D156" s="5" t="s">
        <v>74</v>
      </c>
      <c r="E156" s="87">
        <v>1</v>
      </c>
      <c r="F156" s="106">
        <f>F155*E156</f>
        <v>60.42999999999999</v>
      </c>
      <c r="G156" s="106"/>
      <c r="H156" s="83"/>
      <c r="I156" s="84"/>
      <c r="J156" s="83"/>
      <c r="K156" s="84"/>
      <c r="L156" s="83"/>
      <c r="M156" s="84"/>
      <c r="N156" s="84"/>
      <c r="O156" s="412"/>
    </row>
    <row r="157" spans="1:15" s="67" customFormat="1" ht="18" customHeight="1">
      <c r="A157" s="4"/>
      <c r="B157" s="127"/>
      <c r="C157" s="128" t="s">
        <v>182</v>
      </c>
      <c r="D157" s="5" t="s">
        <v>81</v>
      </c>
      <c r="E157" s="87">
        <v>1.03</v>
      </c>
      <c r="F157" s="413">
        <f>(50+3+30+20+40)*E157/1000</f>
        <v>0.14729</v>
      </c>
      <c r="G157" s="413"/>
      <c r="H157" s="83"/>
      <c r="I157" s="84"/>
      <c r="J157" s="83"/>
      <c r="K157" s="84"/>
      <c r="L157" s="83"/>
      <c r="M157" s="84"/>
      <c r="N157" s="84"/>
      <c r="O157" s="124"/>
    </row>
    <row r="158" spans="1:15" s="130" customFormat="1" ht="17.25" customHeight="1">
      <c r="A158" s="109"/>
      <c r="B158" s="127"/>
      <c r="C158" s="128" t="s">
        <v>472</v>
      </c>
      <c r="D158" s="5" t="s">
        <v>81</v>
      </c>
      <c r="E158" s="87">
        <v>1.03</v>
      </c>
      <c r="F158" s="413">
        <f>(520+540+360+460+460+60)*E158/1000</f>
        <v>2.472</v>
      </c>
      <c r="G158" s="413"/>
      <c r="H158" s="83"/>
      <c r="I158" s="84"/>
      <c r="J158" s="83"/>
      <c r="K158" s="84"/>
      <c r="L158" s="83"/>
      <c r="M158" s="84"/>
      <c r="N158" s="84"/>
      <c r="O158" s="129"/>
    </row>
    <row r="159" spans="1:15" s="130" customFormat="1" ht="17.25" customHeight="1">
      <c r="A159" s="109"/>
      <c r="B159" s="127"/>
      <c r="C159" s="128" t="s">
        <v>473</v>
      </c>
      <c r="D159" s="5" t="s">
        <v>81</v>
      </c>
      <c r="E159" s="87">
        <v>1.03</v>
      </c>
      <c r="F159" s="413">
        <f>(1530+75)*E159/1000</f>
        <v>1.6531500000000001</v>
      </c>
      <c r="G159" s="413"/>
      <c r="H159" s="83"/>
      <c r="I159" s="84"/>
      <c r="J159" s="83"/>
      <c r="K159" s="84"/>
      <c r="L159" s="83"/>
      <c r="M159" s="84"/>
      <c r="N159" s="84"/>
      <c r="O159" s="129"/>
    </row>
    <row r="160" spans="1:15" s="130" customFormat="1" ht="17.25" customHeight="1">
      <c r="A160" s="109"/>
      <c r="B160" s="127"/>
      <c r="C160" s="128" t="s">
        <v>474</v>
      </c>
      <c r="D160" s="5" t="s">
        <v>81</v>
      </c>
      <c r="E160" s="87">
        <v>1.03</v>
      </c>
      <c r="F160" s="413">
        <f>(2660)*E160/1000</f>
        <v>2.7398000000000002</v>
      </c>
      <c r="G160" s="413"/>
      <c r="H160" s="83"/>
      <c r="I160" s="84"/>
      <c r="J160" s="83"/>
      <c r="K160" s="84"/>
      <c r="L160" s="83"/>
      <c r="M160" s="84"/>
      <c r="N160" s="84"/>
      <c r="O160" s="129"/>
    </row>
    <row r="161" spans="1:15" s="130" customFormat="1" ht="17.25" customHeight="1">
      <c r="A161" s="109"/>
      <c r="B161" s="127"/>
      <c r="C161" s="128" t="s">
        <v>469</v>
      </c>
      <c r="D161" s="5" t="s">
        <v>81</v>
      </c>
      <c r="E161" s="87">
        <v>1.03</v>
      </c>
      <c r="F161" s="413">
        <f>(150)*E161/1000</f>
        <v>0.1545</v>
      </c>
      <c r="G161" s="413"/>
      <c r="H161" s="83"/>
      <c r="I161" s="84"/>
      <c r="J161" s="83"/>
      <c r="K161" s="84"/>
      <c r="L161" s="83"/>
      <c r="M161" s="84"/>
      <c r="N161" s="84"/>
      <c r="O161" s="129"/>
    </row>
    <row r="162" spans="1:14" s="236" customFormat="1" ht="18" customHeight="1">
      <c r="A162" s="235"/>
      <c r="B162" s="222" t="s">
        <v>179</v>
      </c>
      <c r="C162" s="63" t="s">
        <v>476</v>
      </c>
      <c r="D162" s="5" t="s">
        <v>74</v>
      </c>
      <c r="E162" s="107">
        <f>101.5/100</f>
        <v>1.015</v>
      </c>
      <c r="F162" s="106">
        <v>16.5</v>
      </c>
      <c r="G162" s="106"/>
      <c r="H162" s="83"/>
      <c r="I162" s="84"/>
      <c r="J162" s="83"/>
      <c r="K162" s="84"/>
      <c r="L162" s="83"/>
      <c r="M162" s="84"/>
      <c r="N162" s="84"/>
    </row>
    <row r="163" spans="1:14" s="236" customFormat="1" ht="18" customHeight="1">
      <c r="A163" s="235"/>
      <c r="B163" s="222" t="s">
        <v>179</v>
      </c>
      <c r="C163" s="63" t="s">
        <v>477</v>
      </c>
      <c r="D163" s="5" t="s">
        <v>74</v>
      </c>
      <c r="E163" s="107">
        <f>101.5/100</f>
        <v>1.015</v>
      </c>
      <c r="F163" s="106">
        <v>34.41</v>
      </c>
      <c r="G163" s="106"/>
      <c r="H163" s="83"/>
      <c r="I163" s="84"/>
      <c r="J163" s="83"/>
      <c r="K163" s="84"/>
      <c r="L163" s="83"/>
      <c r="M163" s="84"/>
      <c r="N163" s="84"/>
    </row>
    <row r="164" spans="1:14" s="236" customFormat="1" ht="18" customHeight="1">
      <c r="A164" s="235"/>
      <c r="B164" s="222" t="s">
        <v>179</v>
      </c>
      <c r="C164" s="63" t="s">
        <v>478</v>
      </c>
      <c r="D164" s="5" t="s">
        <v>74</v>
      </c>
      <c r="E164" s="107">
        <f>101.5/100</f>
        <v>1.015</v>
      </c>
      <c r="F164" s="106">
        <v>9.52</v>
      </c>
      <c r="G164" s="106"/>
      <c r="H164" s="83"/>
      <c r="I164" s="84"/>
      <c r="J164" s="83"/>
      <c r="K164" s="84"/>
      <c r="L164" s="83"/>
      <c r="M164" s="84"/>
      <c r="N164" s="84"/>
    </row>
    <row r="165" spans="1:14" ht="17.25" customHeight="1">
      <c r="A165" s="136"/>
      <c r="B165" s="131"/>
      <c r="C165" s="128" t="s">
        <v>479</v>
      </c>
      <c r="D165" s="5" t="s">
        <v>74</v>
      </c>
      <c r="E165" s="87">
        <v>1</v>
      </c>
      <c r="F165" s="88">
        <f>SUM(F162:F164)</f>
        <v>60.42999999999999</v>
      </c>
      <c r="G165" s="88"/>
      <c r="H165" s="83"/>
      <c r="I165" s="84"/>
      <c r="J165" s="83"/>
      <c r="K165" s="84"/>
      <c r="L165" s="83"/>
      <c r="M165" s="84"/>
      <c r="N165" s="84"/>
    </row>
    <row r="166" spans="1:14" s="236" customFormat="1" ht="18" customHeight="1">
      <c r="A166" s="235"/>
      <c r="B166" s="234" t="s">
        <v>180</v>
      </c>
      <c r="C166" s="128" t="s">
        <v>79</v>
      </c>
      <c r="D166" s="5" t="s">
        <v>86</v>
      </c>
      <c r="E166" s="100">
        <f>(184)/100</f>
        <v>1.84</v>
      </c>
      <c r="F166" s="106">
        <f>F155*E166</f>
        <v>111.1912</v>
      </c>
      <c r="G166" s="106"/>
      <c r="H166" s="83"/>
      <c r="I166" s="84"/>
      <c r="J166" s="83"/>
      <c r="K166" s="84"/>
      <c r="L166" s="83"/>
      <c r="M166" s="84"/>
      <c r="N166" s="84"/>
    </row>
    <row r="167" spans="1:14" s="236" customFormat="1" ht="18" customHeight="1">
      <c r="A167" s="235"/>
      <c r="B167" s="230" t="s">
        <v>181</v>
      </c>
      <c r="C167" s="63" t="s">
        <v>80</v>
      </c>
      <c r="D167" s="5" t="s">
        <v>74</v>
      </c>
      <c r="E167" s="107">
        <f>(0.34+3.91)*0.01</f>
        <v>0.0425</v>
      </c>
      <c r="F167" s="106">
        <f>F155*E167</f>
        <v>2.568275</v>
      </c>
      <c r="G167" s="106"/>
      <c r="H167" s="83"/>
      <c r="I167" s="84"/>
      <c r="J167" s="83"/>
      <c r="K167" s="84"/>
      <c r="L167" s="83"/>
      <c r="M167" s="84"/>
      <c r="N167" s="84"/>
    </row>
    <row r="168" spans="1:14" s="135" customFormat="1" ht="18" customHeight="1">
      <c r="A168" s="96"/>
      <c r="B168" s="96"/>
      <c r="C168" s="133" t="s">
        <v>78</v>
      </c>
      <c r="D168" s="4" t="s">
        <v>138</v>
      </c>
      <c r="E168" s="105">
        <v>7</v>
      </c>
      <c r="F168" s="106">
        <f>SUM(F157:F161)*E168</f>
        <v>50.16718</v>
      </c>
      <c r="G168" s="106"/>
      <c r="H168" s="83"/>
      <c r="I168" s="84"/>
      <c r="J168" s="83"/>
      <c r="K168" s="84"/>
      <c r="L168" s="83"/>
      <c r="M168" s="84"/>
      <c r="N168" s="84"/>
    </row>
    <row r="169" spans="1:14" s="236" customFormat="1" ht="18" customHeight="1">
      <c r="A169" s="235"/>
      <c r="B169" s="230"/>
      <c r="C169" s="128" t="s">
        <v>88</v>
      </c>
      <c r="D169" s="4" t="s">
        <v>138</v>
      </c>
      <c r="E169" s="87">
        <f>0.23/100*1000</f>
        <v>2.3</v>
      </c>
      <c r="F169" s="106">
        <f>F155*E169</f>
        <v>138.98899999999998</v>
      </c>
      <c r="G169" s="106"/>
      <c r="H169" s="83"/>
      <c r="I169" s="84"/>
      <c r="J169" s="83"/>
      <c r="K169" s="84"/>
      <c r="L169" s="83"/>
      <c r="M169" s="84"/>
      <c r="N169" s="84"/>
    </row>
    <row r="170" spans="1:14" s="232" customFormat="1" ht="17.25" customHeight="1">
      <c r="A170" s="230"/>
      <c r="B170" s="222"/>
      <c r="C170" s="63" t="s">
        <v>77</v>
      </c>
      <c r="D170" s="5" t="s">
        <v>15</v>
      </c>
      <c r="E170" s="87">
        <f>46*0.01</f>
        <v>0.46</v>
      </c>
      <c r="F170" s="106">
        <f>F155*E170</f>
        <v>27.7978</v>
      </c>
      <c r="G170" s="106"/>
      <c r="H170" s="83"/>
      <c r="I170" s="84"/>
      <c r="J170" s="83"/>
      <c r="K170" s="84"/>
      <c r="L170" s="83"/>
      <c r="M170" s="84"/>
      <c r="N170" s="84"/>
    </row>
    <row r="171" spans="1:15" s="61" customFormat="1" ht="21" customHeight="1">
      <c r="A171" s="5">
        <f>A155+1</f>
        <v>22</v>
      </c>
      <c r="B171" s="94" t="s">
        <v>37</v>
      </c>
      <c r="C171" s="68" t="s">
        <v>89</v>
      </c>
      <c r="D171" s="69" t="s">
        <v>87</v>
      </c>
      <c r="E171" s="101"/>
      <c r="F171" s="148">
        <f>(9.8+5.6)*2*0.5</f>
        <v>15.4</v>
      </c>
      <c r="G171" s="148"/>
      <c r="H171" s="83"/>
      <c r="I171" s="84"/>
      <c r="J171" s="83"/>
      <c r="K171" s="84"/>
      <c r="L171" s="83"/>
      <c r="M171" s="84"/>
      <c r="N171" s="84"/>
      <c r="O171" s="23"/>
    </row>
    <row r="172" spans="1:14" s="67" customFormat="1" ht="17.25" customHeight="1">
      <c r="A172" s="4"/>
      <c r="B172" s="123"/>
      <c r="C172" s="63" t="s">
        <v>61</v>
      </c>
      <c r="D172" s="5" t="s">
        <v>86</v>
      </c>
      <c r="E172" s="87">
        <v>1</v>
      </c>
      <c r="F172" s="106">
        <f>F171*E172</f>
        <v>15.4</v>
      </c>
      <c r="G172" s="106"/>
      <c r="H172" s="83"/>
      <c r="I172" s="84"/>
      <c r="J172" s="83"/>
      <c r="K172" s="84"/>
      <c r="L172" s="83"/>
      <c r="M172" s="84"/>
      <c r="N172" s="84"/>
    </row>
    <row r="173" spans="1:15" s="67" customFormat="1" ht="17.25" customHeight="1">
      <c r="A173" s="4"/>
      <c r="B173" s="145"/>
      <c r="C173" s="128" t="s">
        <v>158</v>
      </c>
      <c r="D173" s="4" t="s">
        <v>138</v>
      </c>
      <c r="E173" s="87">
        <v>2</v>
      </c>
      <c r="F173" s="88">
        <f>E173*F171</f>
        <v>30.8</v>
      </c>
      <c r="G173" s="88"/>
      <c r="H173" s="83"/>
      <c r="I173" s="84"/>
      <c r="J173" s="83"/>
      <c r="K173" s="84"/>
      <c r="L173" s="83"/>
      <c r="M173" s="84"/>
      <c r="N173" s="84"/>
      <c r="O173" s="414" t="s">
        <v>483</v>
      </c>
    </row>
    <row r="174" spans="1:14" s="67" customFormat="1" ht="17.25" customHeight="1">
      <c r="A174" s="4"/>
      <c r="B174" s="123"/>
      <c r="C174" s="63" t="s">
        <v>77</v>
      </c>
      <c r="D174" s="5" t="s">
        <v>15</v>
      </c>
      <c r="E174" s="101">
        <f>7.68*0.01*0.5</f>
        <v>0.0384</v>
      </c>
      <c r="F174" s="88">
        <f>F171*E174</f>
        <v>0.59136</v>
      </c>
      <c r="G174" s="88"/>
      <c r="H174" s="83"/>
      <c r="I174" s="84"/>
      <c r="J174" s="83"/>
      <c r="K174" s="84"/>
      <c r="L174" s="83"/>
      <c r="M174" s="84"/>
      <c r="N174" s="84"/>
    </row>
    <row r="175" spans="1:14" ht="39" customHeight="1">
      <c r="A175" s="5">
        <f>A171+1</f>
        <v>23</v>
      </c>
      <c r="B175" s="94" t="s">
        <v>21</v>
      </c>
      <c r="C175" s="68" t="s">
        <v>632</v>
      </c>
      <c r="D175" s="69" t="s">
        <v>73</v>
      </c>
      <c r="E175" s="101"/>
      <c r="F175" s="148">
        <v>2.05</v>
      </c>
      <c r="G175" s="148"/>
      <c r="H175" s="83"/>
      <c r="I175" s="84"/>
      <c r="J175" s="83"/>
      <c r="K175" s="84"/>
      <c r="L175" s="83"/>
      <c r="M175" s="84"/>
      <c r="N175" s="84"/>
    </row>
    <row r="176" spans="1:14" ht="17.25" customHeight="1">
      <c r="A176" s="182"/>
      <c r="B176" s="183"/>
      <c r="C176" s="63" t="s">
        <v>61</v>
      </c>
      <c r="D176" s="5" t="s">
        <v>74</v>
      </c>
      <c r="E176" s="87">
        <v>1</v>
      </c>
      <c r="F176" s="106">
        <f>F175*E176</f>
        <v>2.05</v>
      </c>
      <c r="G176" s="106"/>
      <c r="H176" s="83"/>
      <c r="I176" s="84"/>
      <c r="J176" s="83"/>
      <c r="K176" s="84"/>
      <c r="L176" s="83"/>
      <c r="M176" s="84"/>
      <c r="N176" s="84"/>
    </row>
    <row r="177" spans="1:15" s="67" customFormat="1" ht="18" customHeight="1">
      <c r="A177" s="4"/>
      <c r="B177" s="127"/>
      <c r="C177" s="128" t="s">
        <v>182</v>
      </c>
      <c r="D177" s="5" t="s">
        <v>81</v>
      </c>
      <c r="E177" s="87">
        <v>1.03</v>
      </c>
      <c r="F177" s="237">
        <f>(75)*E177/1000</f>
        <v>0.07725</v>
      </c>
      <c r="G177" s="237"/>
      <c r="H177" s="83"/>
      <c r="I177" s="84"/>
      <c r="J177" s="83"/>
      <c r="K177" s="84"/>
      <c r="L177" s="83"/>
      <c r="M177" s="84"/>
      <c r="N177" s="84"/>
      <c r="O177" s="124"/>
    </row>
    <row r="178" spans="1:15" s="130" customFormat="1" ht="17.25" customHeight="1">
      <c r="A178" s="109"/>
      <c r="B178" s="127"/>
      <c r="C178" s="128" t="s">
        <v>470</v>
      </c>
      <c r="D178" s="5" t="s">
        <v>81</v>
      </c>
      <c r="E178" s="87">
        <v>1.03</v>
      </c>
      <c r="F178" s="238">
        <f>(175)*E178/1000</f>
        <v>0.18025</v>
      </c>
      <c r="G178" s="238"/>
      <c r="H178" s="83"/>
      <c r="I178" s="84"/>
      <c r="J178" s="83"/>
      <c r="K178" s="84"/>
      <c r="L178" s="83"/>
      <c r="M178" s="84"/>
      <c r="N178" s="84"/>
      <c r="O178" s="129"/>
    </row>
    <row r="179" spans="1:14" ht="17.25" customHeight="1">
      <c r="A179" s="182"/>
      <c r="B179" s="131"/>
      <c r="C179" s="63" t="s">
        <v>84</v>
      </c>
      <c r="D179" s="5" t="s">
        <v>74</v>
      </c>
      <c r="E179" s="101">
        <f>101.5/100</f>
        <v>1.015</v>
      </c>
      <c r="F179" s="88">
        <f>E179*F175</f>
        <v>2.0807499999999997</v>
      </c>
      <c r="G179" s="88"/>
      <c r="H179" s="83"/>
      <c r="I179" s="84"/>
      <c r="J179" s="83"/>
      <c r="K179" s="84"/>
      <c r="L179" s="83"/>
      <c r="M179" s="84"/>
      <c r="N179" s="84"/>
    </row>
    <row r="180" spans="1:14" ht="17.25" customHeight="1">
      <c r="A180" s="136"/>
      <c r="B180" s="131"/>
      <c r="C180" s="128" t="s">
        <v>479</v>
      </c>
      <c r="D180" s="5" t="s">
        <v>74</v>
      </c>
      <c r="E180" s="87">
        <v>1</v>
      </c>
      <c r="F180" s="88">
        <f>F179</f>
        <v>2.0807499999999997</v>
      </c>
      <c r="G180" s="88"/>
      <c r="H180" s="83"/>
      <c r="I180" s="84"/>
      <c r="J180" s="83"/>
      <c r="K180" s="84"/>
      <c r="L180" s="83"/>
      <c r="M180" s="84"/>
      <c r="N180" s="84"/>
    </row>
    <row r="181" spans="1:14" ht="17.25" customHeight="1">
      <c r="A181" s="182"/>
      <c r="B181" s="132"/>
      <c r="C181" s="128" t="s">
        <v>79</v>
      </c>
      <c r="D181" s="5" t="s">
        <v>86</v>
      </c>
      <c r="E181" s="101">
        <v>2.42</v>
      </c>
      <c r="F181" s="106">
        <f>F175*E181</f>
        <v>4.960999999999999</v>
      </c>
      <c r="G181" s="106"/>
      <c r="H181" s="83"/>
      <c r="I181" s="84"/>
      <c r="J181" s="83"/>
      <c r="K181" s="84"/>
      <c r="L181" s="83"/>
      <c r="M181" s="84"/>
      <c r="N181" s="84"/>
    </row>
    <row r="182" spans="1:14" ht="17.25" customHeight="1">
      <c r="A182" s="182"/>
      <c r="B182" s="127"/>
      <c r="C182" s="63" t="s">
        <v>80</v>
      </c>
      <c r="D182" s="5" t="s">
        <v>74</v>
      </c>
      <c r="E182" s="101">
        <v>0.0648</v>
      </c>
      <c r="F182" s="106">
        <f>E182*F175</f>
        <v>0.13283999999999999</v>
      </c>
      <c r="G182" s="106"/>
      <c r="H182" s="83"/>
      <c r="I182" s="84"/>
      <c r="J182" s="83"/>
      <c r="K182" s="84"/>
      <c r="L182" s="83"/>
      <c r="M182" s="84"/>
      <c r="N182" s="84"/>
    </row>
    <row r="183" spans="1:14" s="135" customFormat="1" ht="18" customHeight="1">
      <c r="A183" s="96"/>
      <c r="B183" s="96"/>
      <c r="C183" s="133" t="s">
        <v>78</v>
      </c>
      <c r="D183" s="4" t="s">
        <v>138</v>
      </c>
      <c r="E183" s="87">
        <v>7</v>
      </c>
      <c r="F183" s="83">
        <f>SUM(F177:F178)*E183</f>
        <v>1.8025</v>
      </c>
      <c r="G183" s="83"/>
      <c r="H183" s="134"/>
      <c r="I183" s="134"/>
      <c r="J183" s="134"/>
      <c r="K183" s="134"/>
      <c r="L183" s="134"/>
      <c r="M183" s="134"/>
      <c r="N183" s="134"/>
    </row>
    <row r="184" spans="1:14" ht="17.25" customHeight="1">
      <c r="A184" s="182"/>
      <c r="B184" s="145"/>
      <c r="C184" s="128" t="s">
        <v>88</v>
      </c>
      <c r="D184" s="4" t="s">
        <v>138</v>
      </c>
      <c r="E184" s="87">
        <f>1.5</f>
        <v>1.5</v>
      </c>
      <c r="F184" s="106">
        <f>F175*E184</f>
        <v>3.0749999999999997</v>
      </c>
      <c r="G184" s="106"/>
      <c r="H184" s="83"/>
      <c r="I184" s="84"/>
      <c r="J184" s="83"/>
      <c r="K184" s="84"/>
      <c r="L184" s="83"/>
      <c r="M184" s="84"/>
      <c r="N184" s="84"/>
    </row>
    <row r="185" spans="1:15" s="67" customFormat="1" ht="17.25" customHeight="1">
      <c r="A185" s="4"/>
      <c r="B185" s="123"/>
      <c r="C185" s="63" t="s">
        <v>77</v>
      </c>
      <c r="D185" s="5" t="s">
        <v>15</v>
      </c>
      <c r="E185" s="101">
        <v>0.6</v>
      </c>
      <c r="F185" s="88">
        <f>F175*E185</f>
        <v>1.2299999999999998</v>
      </c>
      <c r="G185" s="88"/>
      <c r="H185" s="83"/>
      <c r="I185" s="84"/>
      <c r="J185" s="83"/>
      <c r="K185" s="84"/>
      <c r="L185" s="83"/>
      <c r="M185" s="84"/>
      <c r="N185" s="84"/>
      <c r="O185" s="124"/>
    </row>
    <row r="186" spans="1:14" ht="39" customHeight="1">
      <c r="A186" s="5">
        <f>A175+1</f>
        <v>24</v>
      </c>
      <c r="B186" s="94" t="s">
        <v>22</v>
      </c>
      <c r="C186" s="68" t="s">
        <v>499</v>
      </c>
      <c r="D186" s="69" t="s">
        <v>73</v>
      </c>
      <c r="E186" s="101"/>
      <c r="F186" s="148">
        <v>3.33</v>
      </c>
      <c r="G186" s="148"/>
      <c r="H186" s="83"/>
      <c r="I186" s="84"/>
      <c r="J186" s="83"/>
      <c r="K186" s="84"/>
      <c r="L186" s="83"/>
      <c r="M186" s="84"/>
      <c r="N186" s="84"/>
    </row>
    <row r="187" spans="1:14" ht="18" customHeight="1">
      <c r="A187" s="182"/>
      <c r="B187" s="145"/>
      <c r="C187" s="63" t="s">
        <v>61</v>
      </c>
      <c r="D187" s="5" t="s">
        <v>74</v>
      </c>
      <c r="E187" s="87">
        <v>1</v>
      </c>
      <c r="F187" s="106">
        <f>F186*E187</f>
        <v>3.33</v>
      </c>
      <c r="G187" s="106"/>
      <c r="H187" s="83"/>
      <c r="I187" s="84"/>
      <c r="J187" s="83"/>
      <c r="K187" s="84"/>
      <c r="L187" s="83"/>
      <c r="M187" s="84"/>
      <c r="N187" s="84"/>
    </row>
    <row r="188" spans="1:15" s="67" customFormat="1" ht="18" customHeight="1">
      <c r="A188" s="4"/>
      <c r="B188" s="127"/>
      <c r="C188" s="128" t="s">
        <v>182</v>
      </c>
      <c r="D188" s="5" t="s">
        <v>81</v>
      </c>
      <c r="E188" s="87">
        <v>1.03</v>
      </c>
      <c r="F188" s="237">
        <f>(100)*E188/1000</f>
        <v>0.103</v>
      </c>
      <c r="G188" s="237"/>
      <c r="H188" s="83"/>
      <c r="I188" s="84"/>
      <c r="J188" s="83"/>
      <c r="K188" s="84"/>
      <c r="L188" s="83"/>
      <c r="M188" s="84"/>
      <c r="N188" s="84"/>
      <c r="O188" s="124"/>
    </row>
    <row r="189" spans="1:15" s="130" customFormat="1" ht="17.25" customHeight="1">
      <c r="A189" s="109"/>
      <c r="B189" s="127"/>
      <c r="C189" s="128" t="s">
        <v>469</v>
      </c>
      <c r="D189" s="5" t="s">
        <v>81</v>
      </c>
      <c r="E189" s="87">
        <v>1.03</v>
      </c>
      <c r="F189" s="238">
        <f>(165+165)*E189/1000</f>
        <v>0.33990000000000004</v>
      </c>
      <c r="G189" s="238"/>
      <c r="H189" s="83"/>
      <c r="I189" s="84"/>
      <c r="J189" s="83"/>
      <c r="K189" s="84"/>
      <c r="L189" s="83"/>
      <c r="M189" s="84"/>
      <c r="N189" s="84"/>
      <c r="O189" s="129"/>
    </row>
    <row r="190" spans="1:14" ht="17.25" customHeight="1">
      <c r="A190" s="182"/>
      <c r="B190" s="131"/>
      <c r="C190" s="63" t="s">
        <v>84</v>
      </c>
      <c r="D190" s="5" t="s">
        <v>74</v>
      </c>
      <c r="E190" s="87">
        <v>1</v>
      </c>
      <c r="F190" s="88">
        <f>E190*F186</f>
        <v>3.33</v>
      </c>
      <c r="G190" s="88"/>
      <c r="H190" s="83"/>
      <c r="I190" s="84"/>
      <c r="J190" s="83"/>
      <c r="K190" s="84"/>
      <c r="L190" s="83"/>
      <c r="M190" s="84"/>
      <c r="N190" s="84"/>
    </row>
    <row r="191" spans="1:14" ht="17.25" customHeight="1">
      <c r="A191" s="136"/>
      <c r="B191" s="131"/>
      <c r="C191" s="128" t="s">
        <v>479</v>
      </c>
      <c r="D191" s="5" t="s">
        <v>74</v>
      </c>
      <c r="E191" s="87">
        <v>1</v>
      </c>
      <c r="F191" s="88">
        <f>F190</f>
        <v>3.33</v>
      </c>
      <c r="G191" s="88"/>
      <c r="H191" s="83"/>
      <c r="I191" s="84"/>
      <c r="J191" s="83"/>
      <c r="K191" s="84"/>
      <c r="L191" s="83"/>
      <c r="M191" s="84"/>
      <c r="N191" s="84"/>
    </row>
    <row r="192" spans="1:14" ht="18" customHeight="1">
      <c r="A192" s="182"/>
      <c r="B192" s="132"/>
      <c r="C192" s="128" t="s">
        <v>79</v>
      </c>
      <c r="D192" s="5" t="s">
        <v>86</v>
      </c>
      <c r="E192" s="101">
        <f>237*0.01</f>
        <v>2.37</v>
      </c>
      <c r="F192" s="106">
        <f>F186*E192</f>
        <v>7.8921</v>
      </c>
      <c r="G192" s="106"/>
      <c r="H192" s="83"/>
      <c r="I192" s="84"/>
      <c r="J192" s="83"/>
      <c r="K192" s="84"/>
      <c r="L192" s="83"/>
      <c r="M192" s="84"/>
      <c r="N192" s="84"/>
    </row>
    <row r="193" spans="1:14" ht="18" customHeight="1">
      <c r="A193" s="182"/>
      <c r="B193" s="127"/>
      <c r="C193" s="63" t="s">
        <v>80</v>
      </c>
      <c r="D193" s="5" t="s">
        <v>74</v>
      </c>
      <c r="E193" s="101">
        <f>(0.22+1.95+0.5)/100</f>
        <v>0.026699999999999998</v>
      </c>
      <c r="F193" s="106">
        <f>E193*F186</f>
        <v>0.08891099999999999</v>
      </c>
      <c r="G193" s="106"/>
      <c r="H193" s="83"/>
      <c r="I193" s="84"/>
      <c r="J193" s="83"/>
      <c r="K193" s="84"/>
      <c r="L193" s="83"/>
      <c r="M193" s="84"/>
      <c r="N193" s="84"/>
    </row>
    <row r="194" spans="1:14" s="135" customFormat="1" ht="18" customHeight="1">
      <c r="A194" s="96"/>
      <c r="B194" s="96"/>
      <c r="C194" s="133" t="s">
        <v>78</v>
      </c>
      <c r="D194" s="4" t="s">
        <v>138</v>
      </c>
      <c r="E194" s="87">
        <v>7</v>
      </c>
      <c r="F194" s="83">
        <f>SUM(F188:F189)*E194</f>
        <v>3.1003000000000003</v>
      </c>
      <c r="G194" s="83"/>
      <c r="H194" s="134"/>
      <c r="I194" s="134"/>
      <c r="J194" s="134"/>
      <c r="K194" s="134"/>
      <c r="L194" s="134"/>
      <c r="M194" s="134"/>
      <c r="N194" s="134"/>
    </row>
    <row r="195" spans="1:14" ht="18" customHeight="1">
      <c r="A195" s="182"/>
      <c r="B195" s="145"/>
      <c r="C195" s="128" t="s">
        <v>88</v>
      </c>
      <c r="D195" s="4" t="s">
        <v>138</v>
      </c>
      <c r="E195" s="87">
        <f>0.31/100*1000</f>
        <v>3.1</v>
      </c>
      <c r="F195" s="106">
        <f>F186*E195</f>
        <v>10.323</v>
      </c>
      <c r="G195" s="106"/>
      <c r="H195" s="83"/>
      <c r="I195" s="84"/>
      <c r="J195" s="83"/>
      <c r="K195" s="84"/>
      <c r="L195" s="83"/>
      <c r="M195" s="84"/>
      <c r="N195" s="84"/>
    </row>
    <row r="196" spans="1:15" s="67" customFormat="1" ht="17.25" customHeight="1">
      <c r="A196" s="4"/>
      <c r="B196" s="123"/>
      <c r="C196" s="63" t="s">
        <v>77</v>
      </c>
      <c r="D196" s="5" t="s">
        <v>15</v>
      </c>
      <c r="E196" s="101">
        <f>87*0.01</f>
        <v>0.87</v>
      </c>
      <c r="F196" s="88">
        <f>F186*E196</f>
        <v>2.8971</v>
      </c>
      <c r="G196" s="88"/>
      <c r="H196" s="83"/>
      <c r="I196" s="84"/>
      <c r="J196" s="83"/>
      <c r="K196" s="84"/>
      <c r="L196" s="83"/>
      <c r="M196" s="84"/>
      <c r="N196" s="84"/>
      <c r="O196" s="124"/>
    </row>
    <row r="197" spans="1:15" s="46" customFormat="1" ht="18" customHeight="1">
      <c r="A197" s="38"/>
      <c r="B197" s="141"/>
      <c r="C197" s="39" t="s">
        <v>480</v>
      </c>
      <c r="D197" s="40"/>
      <c r="E197" s="101"/>
      <c r="F197" s="42"/>
      <c r="G197" s="42"/>
      <c r="H197" s="83"/>
      <c r="I197" s="84"/>
      <c r="J197" s="83"/>
      <c r="K197" s="84"/>
      <c r="L197" s="83"/>
      <c r="M197" s="84"/>
      <c r="N197" s="84"/>
      <c r="O197" s="45"/>
    </row>
    <row r="198" spans="1:14" s="250" customFormat="1" ht="21" customHeight="1">
      <c r="A198" s="5">
        <f>A139+1</f>
        <v>20</v>
      </c>
      <c r="B198" s="223" t="s">
        <v>211</v>
      </c>
      <c r="C198" s="68" t="s">
        <v>212</v>
      </c>
      <c r="D198" s="69" t="s">
        <v>92</v>
      </c>
      <c r="E198" s="100"/>
      <c r="F198" s="148">
        <f>SUM(F200:F200)</f>
        <v>168</v>
      </c>
      <c r="G198" s="148"/>
      <c r="H198" s="148"/>
      <c r="I198" s="88"/>
      <c r="J198" s="83"/>
      <c r="K198" s="88"/>
      <c r="L198" s="106"/>
      <c r="M198" s="88"/>
      <c r="N198" s="88"/>
    </row>
    <row r="199" spans="1:14" s="251" customFormat="1" ht="17.25" customHeight="1">
      <c r="A199" s="5"/>
      <c r="B199" s="222"/>
      <c r="C199" s="63" t="s">
        <v>61</v>
      </c>
      <c r="D199" s="5" t="str">
        <f>D198</f>
        <v>ცალი</v>
      </c>
      <c r="E199" s="100">
        <v>1</v>
      </c>
      <c r="F199" s="106">
        <f>F198*E199</f>
        <v>168</v>
      </c>
      <c r="G199" s="106"/>
      <c r="H199" s="106"/>
      <c r="I199" s="84"/>
      <c r="J199" s="83"/>
      <c r="K199" s="84"/>
      <c r="L199" s="83"/>
      <c r="M199" s="84"/>
      <c r="N199" s="84"/>
    </row>
    <row r="200" spans="1:15" s="248" customFormat="1" ht="18" customHeight="1">
      <c r="A200" s="5"/>
      <c r="B200" s="222"/>
      <c r="C200" s="63" t="s">
        <v>628</v>
      </c>
      <c r="D200" s="5" t="s">
        <v>92</v>
      </c>
      <c r="E200" s="87">
        <v>1.03</v>
      </c>
      <c r="F200" s="243">
        <f>168</f>
        <v>168</v>
      </c>
      <c r="G200" s="243"/>
      <c r="H200" s="83"/>
      <c r="I200" s="84"/>
      <c r="J200" s="83"/>
      <c r="K200" s="84"/>
      <c r="L200" s="83"/>
      <c r="M200" s="84"/>
      <c r="N200" s="84"/>
      <c r="O200" s="252"/>
    </row>
    <row r="201" spans="1:15" s="251" customFormat="1" ht="17.25" customHeight="1">
      <c r="A201" s="5"/>
      <c r="B201" s="234"/>
      <c r="C201" s="63" t="s">
        <v>77</v>
      </c>
      <c r="D201" s="5" t="s">
        <v>15</v>
      </c>
      <c r="E201" s="87">
        <f>4.57/2.5</f>
        <v>1.828</v>
      </c>
      <c r="F201" s="88">
        <f>E201*F198</f>
        <v>307.104</v>
      </c>
      <c r="G201" s="88"/>
      <c r="H201" s="83"/>
      <c r="I201" s="84"/>
      <c r="J201" s="83"/>
      <c r="K201" s="84"/>
      <c r="L201" s="83"/>
      <c r="M201" s="84"/>
      <c r="N201" s="84"/>
      <c r="O201" s="253"/>
    </row>
    <row r="202" spans="1:15" s="229" customFormat="1" ht="24" customHeight="1">
      <c r="A202" s="5">
        <f>A198+1</f>
        <v>21</v>
      </c>
      <c r="B202" s="223" t="s">
        <v>204</v>
      </c>
      <c r="C202" s="68" t="s">
        <v>209</v>
      </c>
      <c r="D202" s="69" t="s">
        <v>81</v>
      </c>
      <c r="E202" s="87"/>
      <c r="F202" s="148">
        <f>SUM(F204:F206)</f>
        <v>10.320599999999999</v>
      </c>
      <c r="G202" s="148"/>
      <c r="H202" s="83"/>
      <c r="I202" s="84"/>
      <c r="J202" s="83"/>
      <c r="K202" s="84"/>
      <c r="L202" s="83"/>
      <c r="M202" s="84"/>
      <c r="N202" s="84"/>
      <c r="O202" s="246"/>
    </row>
    <row r="203" spans="1:14" s="232" customFormat="1" ht="18" customHeight="1">
      <c r="A203" s="5"/>
      <c r="B203" s="222"/>
      <c r="C203" s="63" t="s">
        <v>61</v>
      </c>
      <c r="D203" s="97" t="str">
        <f>D202</f>
        <v>ტონა</v>
      </c>
      <c r="E203" s="87">
        <v>1</v>
      </c>
      <c r="F203" s="106">
        <f>F202*E203</f>
        <v>10.320599999999999</v>
      </c>
      <c r="G203" s="106"/>
      <c r="H203" s="106"/>
      <c r="I203" s="84"/>
      <c r="J203" s="83"/>
      <c r="K203" s="84"/>
      <c r="L203" s="83"/>
      <c r="M203" s="84"/>
      <c r="N203" s="84"/>
    </row>
    <row r="204" spans="1:14" s="248" customFormat="1" ht="18" customHeight="1">
      <c r="A204" s="5"/>
      <c r="B204" s="222" t="s">
        <v>205</v>
      </c>
      <c r="C204" s="63" t="s">
        <v>633</v>
      </c>
      <c r="D204" s="5" t="s">
        <v>81</v>
      </c>
      <c r="E204" s="87">
        <v>1.03</v>
      </c>
      <c r="F204" s="413">
        <f>(7700)*E204/1000</f>
        <v>7.931</v>
      </c>
      <c r="G204" s="413"/>
      <c r="H204" s="83"/>
      <c r="I204" s="84"/>
      <c r="J204" s="83"/>
      <c r="K204" s="84"/>
      <c r="L204" s="83"/>
      <c r="M204" s="84"/>
      <c r="N204" s="84"/>
    </row>
    <row r="205" spans="1:14" s="248" customFormat="1" ht="18" customHeight="1">
      <c r="A205" s="5"/>
      <c r="B205" s="222" t="s">
        <v>205</v>
      </c>
      <c r="C205" s="63" t="s">
        <v>634</v>
      </c>
      <c r="D205" s="5" t="s">
        <v>81</v>
      </c>
      <c r="E205" s="87">
        <v>1.03</v>
      </c>
      <c r="F205" s="413">
        <f>(2000)*E205/1000</f>
        <v>2.06</v>
      </c>
      <c r="G205" s="413"/>
      <c r="H205" s="83"/>
      <c r="I205" s="84"/>
      <c r="J205" s="83"/>
      <c r="K205" s="84"/>
      <c r="L205" s="83"/>
      <c r="M205" s="84"/>
      <c r="N205" s="84"/>
    </row>
    <row r="206" spans="1:14" s="248" customFormat="1" ht="18" customHeight="1">
      <c r="A206" s="5"/>
      <c r="B206" s="222" t="s">
        <v>206</v>
      </c>
      <c r="C206" s="63" t="s">
        <v>635</v>
      </c>
      <c r="D206" s="5" t="s">
        <v>81</v>
      </c>
      <c r="E206" s="87">
        <v>1.03</v>
      </c>
      <c r="F206" s="413">
        <f>(320)*E206/1000</f>
        <v>0.3296</v>
      </c>
      <c r="G206" s="413"/>
      <c r="H206" s="83"/>
      <c r="I206" s="84"/>
      <c r="J206" s="83"/>
      <c r="K206" s="84"/>
      <c r="L206" s="83"/>
      <c r="M206" s="84"/>
      <c r="N206" s="84"/>
    </row>
    <row r="207" spans="1:14" s="236" customFormat="1" ht="18" customHeight="1">
      <c r="A207" s="5"/>
      <c r="B207" s="230"/>
      <c r="C207" s="128" t="s">
        <v>88</v>
      </c>
      <c r="D207" s="4" t="s">
        <v>138</v>
      </c>
      <c r="E207" s="87">
        <v>2.4</v>
      </c>
      <c r="F207" s="106">
        <f>E207*F202</f>
        <v>24.769439999999996</v>
      </c>
      <c r="G207" s="106"/>
      <c r="H207" s="83"/>
      <c r="I207" s="84"/>
      <c r="J207" s="83"/>
      <c r="K207" s="84"/>
      <c r="L207" s="83"/>
      <c r="M207" s="84"/>
      <c r="N207" s="84"/>
    </row>
    <row r="208" spans="1:14" s="236" customFormat="1" ht="18" customHeight="1">
      <c r="A208" s="5"/>
      <c r="B208" s="230" t="s">
        <v>207</v>
      </c>
      <c r="C208" s="128" t="s">
        <v>213</v>
      </c>
      <c r="D208" s="4" t="s">
        <v>138</v>
      </c>
      <c r="E208" s="87">
        <v>13.4</v>
      </c>
      <c r="F208" s="88">
        <f>E208*F202</f>
        <v>138.29603999999998</v>
      </c>
      <c r="G208" s="88"/>
      <c r="H208" s="83"/>
      <c r="I208" s="84"/>
      <c r="J208" s="83"/>
      <c r="K208" s="84"/>
      <c r="L208" s="83"/>
      <c r="M208" s="84"/>
      <c r="N208" s="84"/>
    </row>
    <row r="209" spans="1:14" s="232" customFormat="1" ht="17.25" customHeight="1">
      <c r="A209" s="5"/>
      <c r="B209" s="222"/>
      <c r="C209" s="63" t="s">
        <v>77</v>
      </c>
      <c r="D209" s="5" t="s">
        <v>15</v>
      </c>
      <c r="E209" s="87">
        <v>2.78</v>
      </c>
      <c r="F209" s="88">
        <f>F202*E209</f>
        <v>28.691267999999994</v>
      </c>
      <c r="G209" s="88"/>
      <c r="H209" s="83"/>
      <c r="I209" s="84"/>
      <c r="J209" s="83"/>
      <c r="K209" s="84"/>
      <c r="L209" s="83"/>
      <c r="M209" s="84"/>
      <c r="N209" s="84"/>
    </row>
    <row r="210" spans="1:14" s="229" customFormat="1" ht="36" customHeight="1">
      <c r="A210" s="5">
        <f>A202+1</f>
        <v>22</v>
      </c>
      <c r="B210" s="223" t="s">
        <v>208</v>
      </c>
      <c r="C210" s="68" t="s">
        <v>210</v>
      </c>
      <c r="D210" s="69" t="s">
        <v>87</v>
      </c>
      <c r="E210" s="100"/>
      <c r="F210" s="148">
        <v>360</v>
      </c>
      <c r="G210" s="148"/>
      <c r="H210" s="83"/>
      <c r="I210" s="84"/>
      <c r="J210" s="83"/>
      <c r="K210" s="84"/>
      <c r="L210" s="83"/>
      <c r="M210" s="84"/>
      <c r="N210" s="84"/>
    </row>
    <row r="211" spans="1:14" s="232" customFormat="1" ht="18" customHeight="1">
      <c r="A211" s="5"/>
      <c r="B211" s="230"/>
      <c r="C211" s="63" t="s">
        <v>61</v>
      </c>
      <c r="D211" s="5" t="s">
        <v>86</v>
      </c>
      <c r="E211" s="87">
        <v>1</v>
      </c>
      <c r="F211" s="106">
        <f>F210*E211</f>
        <v>360</v>
      </c>
      <c r="G211" s="106"/>
      <c r="H211" s="83"/>
      <c r="I211" s="84"/>
      <c r="J211" s="83"/>
      <c r="K211" s="84"/>
      <c r="L211" s="83"/>
      <c r="M211" s="84"/>
      <c r="N211" s="84"/>
    </row>
    <row r="212" spans="1:14" s="249" customFormat="1" ht="18" customHeight="1">
      <c r="A212" s="5"/>
      <c r="B212" s="222"/>
      <c r="C212" s="144" t="s">
        <v>142</v>
      </c>
      <c r="D212" s="4" t="s">
        <v>138</v>
      </c>
      <c r="E212" s="107">
        <f>(24.4+0.2)*0.01</f>
        <v>0.246</v>
      </c>
      <c r="F212" s="106">
        <f>E212*F210</f>
        <v>88.56</v>
      </c>
      <c r="G212" s="106"/>
      <c r="H212" s="83"/>
      <c r="I212" s="84"/>
      <c r="J212" s="83"/>
      <c r="K212" s="84"/>
      <c r="L212" s="83"/>
      <c r="M212" s="84"/>
      <c r="N212" s="84"/>
    </row>
    <row r="213" spans="1:14" s="249" customFormat="1" ht="18" customHeight="1">
      <c r="A213" s="5"/>
      <c r="B213" s="222"/>
      <c r="C213" s="144" t="s">
        <v>143</v>
      </c>
      <c r="D213" s="4" t="s">
        <v>138</v>
      </c>
      <c r="E213" s="107">
        <v>0.027</v>
      </c>
      <c r="F213" s="106">
        <f>E213*F210</f>
        <v>9.72</v>
      </c>
      <c r="G213" s="106"/>
      <c r="H213" s="83"/>
      <c r="I213" s="84"/>
      <c r="J213" s="83"/>
      <c r="K213" s="84"/>
      <c r="L213" s="83"/>
      <c r="M213" s="84"/>
      <c r="N213" s="84"/>
    </row>
    <row r="214" spans="1:14" s="232" customFormat="1" ht="18" customHeight="1">
      <c r="A214" s="230"/>
      <c r="B214" s="222"/>
      <c r="C214" s="63" t="s">
        <v>77</v>
      </c>
      <c r="D214" s="5" t="s">
        <v>15</v>
      </c>
      <c r="E214" s="99">
        <v>0.0019</v>
      </c>
      <c r="F214" s="88">
        <f>F210*E214</f>
        <v>0.684</v>
      </c>
      <c r="G214" s="88"/>
      <c r="H214" s="83"/>
      <c r="I214" s="84"/>
      <c r="J214" s="83"/>
      <c r="K214" s="84"/>
      <c r="L214" s="83"/>
      <c r="M214" s="84"/>
      <c r="N214" s="84"/>
    </row>
    <row r="215" spans="1:15" s="46" customFormat="1" ht="18" customHeight="1">
      <c r="A215" s="38"/>
      <c r="B215" s="141"/>
      <c r="C215" s="39" t="s">
        <v>195</v>
      </c>
      <c r="D215" s="40"/>
      <c r="E215" s="101"/>
      <c r="F215" s="42"/>
      <c r="G215" s="42"/>
      <c r="H215" s="83"/>
      <c r="I215" s="84"/>
      <c r="J215" s="83"/>
      <c r="K215" s="84"/>
      <c r="L215" s="83"/>
      <c r="M215" s="84"/>
      <c r="N215" s="84"/>
      <c r="O215" s="45"/>
    </row>
    <row r="216" spans="1:15" s="46" customFormat="1" ht="21" customHeight="1">
      <c r="A216" s="432"/>
      <c r="B216" s="127"/>
      <c r="C216" s="434" t="s">
        <v>503</v>
      </c>
      <c r="D216" s="433"/>
      <c r="E216" s="101"/>
      <c r="F216" s="42"/>
      <c r="G216" s="42"/>
      <c r="H216" s="83"/>
      <c r="I216" s="84"/>
      <c r="J216" s="83"/>
      <c r="K216" s="84"/>
      <c r="L216" s="83"/>
      <c r="M216" s="84"/>
      <c r="N216" s="84"/>
      <c r="O216" s="45"/>
    </row>
    <row r="217" spans="1:15" s="61" customFormat="1" ht="36" customHeight="1">
      <c r="A217" s="5">
        <f>A210+1</f>
        <v>23</v>
      </c>
      <c r="B217" s="94" t="s">
        <v>117</v>
      </c>
      <c r="C217" s="68" t="s">
        <v>110</v>
      </c>
      <c r="D217" s="69" t="s">
        <v>87</v>
      </c>
      <c r="E217" s="101"/>
      <c r="F217" s="147">
        <f>F223</f>
        <v>1250</v>
      </c>
      <c r="G217" s="147"/>
      <c r="H217" s="83"/>
      <c r="I217" s="84"/>
      <c r="J217" s="83"/>
      <c r="K217" s="84"/>
      <c r="L217" s="83"/>
      <c r="M217" s="84"/>
      <c r="N217" s="84"/>
      <c r="O217" s="122"/>
    </row>
    <row r="218" spans="1:15" s="67" customFormat="1" ht="17.25" customHeight="1">
      <c r="A218" s="4"/>
      <c r="B218" s="123"/>
      <c r="C218" s="63" t="s">
        <v>61</v>
      </c>
      <c r="D218" s="5" t="s">
        <v>86</v>
      </c>
      <c r="E218" s="87">
        <v>1</v>
      </c>
      <c r="F218" s="106">
        <f>F217*E218</f>
        <v>1250</v>
      </c>
      <c r="G218" s="106"/>
      <c r="H218" s="83"/>
      <c r="I218" s="84"/>
      <c r="J218" s="83"/>
      <c r="K218" s="84"/>
      <c r="L218" s="83"/>
      <c r="M218" s="84"/>
      <c r="N218" s="84"/>
      <c r="O218" s="124"/>
    </row>
    <row r="219" spans="1:15" s="67" customFormat="1" ht="17.25" customHeight="1">
      <c r="A219" s="4"/>
      <c r="B219" s="123"/>
      <c r="C219" s="63" t="s">
        <v>159</v>
      </c>
      <c r="D219" s="5" t="s">
        <v>86</v>
      </c>
      <c r="E219" s="87">
        <v>1.05</v>
      </c>
      <c r="F219" s="88">
        <f>E219*F217</f>
        <v>1312.5</v>
      </c>
      <c r="G219" s="88"/>
      <c r="H219" s="83"/>
      <c r="I219" s="84"/>
      <c r="J219" s="83"/>
      <c r="K219" s="84"/>
      <c r="L219" s="83"/>
      <c r="M219" s="84"/>
      <c r="N219" s="84"/>
      <c r="O219" s="124"/>
    </row>
    <row r="220" spans="1:15" s="61" customFormat="1" ht="36" customHeight="1">
      <c r="A220" s="5">
        <f>A217+1</f>
        <v>24</v>
      </c>
      <c r="B220" s="94" t="s">
        <v>33</v>
      </c>
      <c r="C220" s="68" t="s">
        <v>112</v>
      </c>
      <c r="D220" s="69" t="s">
        <v>73</v>
      </c>
      <c r="E220" s="101"/>
      <c r="F220" s="148">
        <f>F223*0.12</f>
        <v>150</v>
      </c>
      <c r="G220" s="148"/>
      <c r="H220" s="83"/>
      <c r="I220" s="84"/>
      <c r="J220" s="83"/>
      <c r="K220" s="84"/>
      <c r="L220" s="83"/>
      <c r="M220" s="84"/>
      <c r="N220" s="84"/>
      <c r="O220" s="122"/>
    </row>
    <row r="221" spans="1:15" s="67" customFormat="1" ht="17.25" customHeight="1">
      <c r="A221" s="4"/>
      <c r="B221" s="123"/>
      <c r="C221" s="63" t="s">
        <v>61</v>
      </c>
      <c r="D221" s="5" t="s">
        <v>74</v>
      </c>
      <c r="E221" s="87">
        <v>1</v>
      </c>
      <c r="F221" s="106">
        <f>F220*E221</f>
        <v>150</v>
      </c>
      <c r="G221" s="106"/>
      <c r="H221" s="83"/>
      <c r="I221" s="84"/>
      <c r="J221" s="83"/>
      <c r="K221" s="84"/>
      <c r="L221" s="83"/>
      <c r="M221" s="84"/>
      <c r="N221" s="84"/>
      <c r="O221" s="124"/>
    </row>
    <row r="222" spans="1:15" s="67" customFormat="1" ht="17.25" customHeight="1">
      <c r="A222" s="4"/>
      <c r="B222" s="123"/>
      <c r="C222" s="128" t="s">
        <v>111</v>
      </c>
      <c r="D222" s="5" t="s">
        <v>74</v>
      </c>
      <c r="E222" s="87">
        <v>1.15</v>
      </c>
      <c r="F222" s="88">
        <f>E222*F220</f>
        <v>172.5</v>
      </c>
      <c r="G222" s="88"/>
      <c r="H222" s="83"/>
      <c r="I222" s="84"/>
      <c r="J222" s="83"/>
      <c r="K222" s="84"/>
      <c r="L222" s="83"/>
      <c r="M222" s="84"/>
      <c r="N222" s="84"/>
      <c r="O222" s="124"/>
    </row>
    <row r="223" spans="1:16" s="61" customFormat="1" ht="51" customHeight="1">
      <c r="A223" s="5">
        <f>A220+1</f>
        <v>25</v>
      </c>
      <c r="B223" s="94" t="s">
        <v>27</v>
      </c>
      <c r="C223" s="68" t="s">
        <v>115</v>
      </c>
      <c r="D223" s="69" t="s">
        <v>87</v>
      </c>
      <c r="E223" s="101"/>
      <c r="F223" s="148">
        <v>1250</v>
      </c>
      <c r="G223" s="148"/>
      <c r="H223" s="83"/>
      <c r="I223" s="84"/>
      <c r="J223" s="83"/>
      <c r="K223" s="84"/>
      <c r="L223" s="83"/>
      <c r="M223" s="84"/>
      <c r="N223" s="84"/>
      <c r="O223" s="185"/>
      <c r="P223" s="23"/>
    </row>
    <row r="224" spans="1:15" s="67" customFormat="1" ht="18" customHeight="1">
      <c r="A224" s="5"/>
      <c r="B224" s="145"/>
      <c r="C224" s="63" t="s">
        <v>61</v>
      </c>
      <c r="D224" s="5" t="s">
        <v>86</v>
      </c>
      <c r="E224" s="87">
        <v>1</v>
      </c>
      <c r="F224" s="88">
        <f>F223*E224</f>
        <v>1250</v>
      </c>
      <c r="G224" s="88"/>
      <c r="H224" s="83"/>
      <c r="I224" s="84"/>
      <c r="J224" s="83"/>
      <c r="K224" s="84"/>
      <c r="L224" s="83"/>
      <c r="M224" s="84"/>
      <c r="N224" s="84"/>
      <c r="O224" s="186"/>
    </row>
    <row r="225" spans="1:15" s="67" customFormat="1" ht="18" customHeight="1">
      <c r="A225" s="5"/>
      <c r="B225" s="123"/>
      <c r="C225" s="128" t="s">
        <v>139</v>
      </c>
      <c r="D225" s="5" t="s">
        <v>74</v>
      </c>
      <c r="E225" s="101">
        <f>(1.58+0.105*15)/100</f>
        <v>0.03155</v>
      </c>
      <c r="F225" s="88">
        <f>F223*E225</f>
        <v>39.4375</v>
      </c>
      <c r="G225" s="88"/>
      <c r="H225" s="83"/>
      <c r="I225" s="84"/>
      <c r="J225" s="83"/>
      <c r="K225" s="84"/>
      <c r="L225" s="83"/>
      <c r="M225" s="84"/>
      <c r="N225" s="84"/>
      <c r="O225" s="186"/>
    </row>
    <row r="226" spans="1:15" s="67" customFormat="1" ht="18" customHeight="1">
      <c r="A226" s="5"/>
      <c r="B226" s="123"/>
      <c r="C226" s="128" t="s">
        <v>111</v>
      </c>
      <c r="D226" s="5" t="s">
        <v>74</v>
      </c>
      <c r="E226" s="87">
        <v>1.15</v>
      </c>
      <c r="F226" s="88">
        <f>F225*E226</f>
        <v>45.353125</v>
      </c>
      <c r="G226" s="88"/>
      <c r="H226" s="83"/>
      <c r="I226" s="84"/>
      <c r="J226" s="83"/>
      <c r="K226" s="84"/>
      <c r="L226" s="83"/>
      <c r="M226" s="84"/>
      <c r="N226" s="84"/>
      <c r="O226" s="186"/>
    </row>
    <row r="227" spans="1:15" s="67" customFormat="1" ht="18" customHeight="1">
      <c r="A227" s="5"/>
      <c r="B227" s="123"/>
      <c r="C227" s="128" t="s">
        <v>95</v>
      </c>
      <c r="D227" s="5" t="s">
        <v>81</v>
      </c>
      <c r="E227" s="101">
        <v>0.304</v>
      </c>
      <c r="F227" s="88">
        <f>E227*F225</f>
        <v>11.988999999999999</v>
      </c>
      <c r="G227" s="88"/>
      <c r="H227" s="83"/>
      <c r="I227" s="84"/>
      <c r="J227" s="83"/>
      <c r="K227" s="84"/>
      <c r="L227" s="83"/>
      <c r="M227" s="84"/>
      <c r="N227" s="84"/>
      <c r="O227" s="186"/>
    </row>
    <row r="228" spans="1:15" s="67" customFormat="1" ht="18" customHeight="1">
      <c r="A228" s="5"/>
      <c r="B228" s="123"/>
      <c r="C228" s="63" t="s">
        <v>77</v>
      </c>
      <c r="D228" s="5" t="s">
        <v>15</v>
      </c>
      <c r="E228" s="101">
        <v>0.064</v>
      </c>
      <c r="F228" s="88">
        <f>F223*E228</f>
        <v>80</v>
      </c>
      <c r="G228" s="88"/>
      <c r="H228" s="83"/>
      <c r="I228" s="84"/>
      <c r="J228" s="83"/>
      <c r="K228" s="84"/>
      <c r="L228" s="83"/>
      <c r="M228" s="84"/>
      <c r="N228" s="84"/>
      <c r="O228" s="124"/>
    </row>
    <row r="229" spans="1:15" ht="36" customHeight="1">
      <c r="A229" s="5">
        <f>A223+1</f>
        <v>26</v>
      </c>
      <c r="B229" s="94" t="s">
        <v>39</v>
      </c>
      <c r="C229" s="68" t="s">
        <v>113</v>
      </c>
      <c r="D229" s="69" t="s">
        <v>87</v>
      </c>
      <c r="E229" s="101"/>
      <c r="F229" s="148">
        <f>F223</f>
        <v>1250</v>
      </c>
      <c r="G229" s="148"/>
      <c r="H229" s="83"/>
      <c r="I229" s="84"/>
      <c r="J229" s="83"/>
      <c r="K229" s="84"/>
      <c r="L229" s="83"/>
      <c r="M229" s="84"/>
      <c r="N229" s="84"/>
      <c r="O229" s="185"/>
    </row>
    <row r="230" spans="1:15" ht="18" customHeight="1">
      <c r="A230" s="5"/>
      <c r="B230" s="183"/>
      <c r="C230" s="63" t="s">
        <v>61</v>
      </c>
      <c r="D230" s="5" t="s">
        <v>86</v>
      </c>
      <c r="E230" s="87">
        <v>1</v>
      </c>
      <c r="F230" s="106">
        <f>F229*E230</f>
        <v>1250</v>
      </c>
      <c r="G230" s="106"/>
      <c r="H230" s="83"/>
      <c r="I230" s="84"/>
      <c r="J230" s="83"/>
      <c r="K230" s="84"/>
      <c r="L230" s="83"/>
      <c r="M230" s="84"/>
      <c r="N230" s="84"/>
      <c r="O230" s="186"/>
    </row>
    <row r="231" spans="1:15" ht="18" customHeight="1">
      <c r="A231" s="5"/>
      <c r="B231" s="145"/>
      <c r="C231" s="128" t="s">
        <v>106</v>
      </c>
      <c r="D231" s="4" t="s">
        <v>138</v>
      </c>
      <c r="E231" s="101">
        <v>0.3</v>
      </c>
      <c r="F231" s="88">
        <f>F229*E231</f>
        <v>375</v>
      </c>
      <c r="G231" s="88"/>
      <c r="H231" s="83"/>
      <c r="I231" s="84"/>
      <c r="J231" s="83"/>
      <c r="K231" s="84"/>
      <c r="L231" s="83"/>
      <c r="M231" s="84"/>
      <c r="N231" s="84"/>
      <c r="O231" s="186"/>
    </row>
    <row r="232" spans="1:15" s="67" customFormat="1" ht="18" customHeight="1">
      <c r="A232" s="5"/>
      <c r="B232" s="123"/>
      <c r="C232" s="128" t="s">
        <v>108</v>
      </c>
      <c r="D232" s="5" t="s">
        <v>86</v>
      </c>
      <c r="E232" s="101">
        <v>1.25</v>
      </c>
      <c r="F232" s="88">
        <f>E232*F229</f>
        <v>1562.5</v>
      </c>
      <c r="G232" s="88"/>
      <c r="H232" s="83"/>
      <c r="I232" s="84"/>
      <c r="J232" s="83"/>
      <c r="K232" s="84"/>
      <c r="L232" s="83"/>
      <c r="M232" s="84"/>
      <c r="N232" s="84"/>
      <c r="O232" s="186"/>
    </row>
    <row r="233" spans="1:15" s="67" customFormat="1" ht="18" customHeight="1">
      <c r="A233" s="4"/>
      <c r="B233" s="145"/>
      <c r="C233" s="128" t="s">
        <v>109</v>
      </c>
      <c r="D233" s="4" t="s">
        <v>138</v>
      </c>
      <c r="E233" s="101">
        <v>0.25</v>
      </c>
      <c r="F233" s="88">
        <f>E233*F229</f>
        <v>312.5</v>
      </c>
      <c r="G233" s="88"/>
      <c r="H233" s="83"/>
      <c r="I233" s="84"/>
      <c r="J233" s="83"/>
      <c r="K233" s="84"/>
      <c r="L233" s="83"/>
      <c r="M233" s="84"/>
      <c r="N233" s="84"/>
      <c r="O233" s="186"/>
    </row>
    <row r="234" spans="1:15" s="67" customFormat="1" ht="18" customHeight="1">
      <c r="A234" s="4"/>
      <c r="B234" s="123"/>
      <c r="C234" s="63" t="s">
        <v>77</v>
      </c>
      <c r="D234" s="5" t="s">
        <v>15</v>
      </c>
      <c r="E234" s="101">
        <f>3.9/100*0.5</f>
        <v>0.0195</v>
      </c>
      <c r="F234" s="88">
        <f>F229*E234</f>
        <v>24.375</v>
      </c>
      <c r="G234" s="88"/>
      <c r="H234" s="83"/>
      <c r="I234" s="84"/>
      <c r="J234" s="83"/>
      <c r="K234" s="84"/>
      <c r="L234" s="83"/>
      <c r="M234" s="84"/>
      <c r="N234" s="84"/>
      <c r="O234" s="124"/>
    </row>
    <row r="235" spans="1:16" s="61" customFormat="1" ht="54" customHeight="1">
      <c r="A235" s="5">
        <f>A229+1</f>
        <v>27</v>
      </c>
      <c r="B235" s="94" t="s">
        <v>27</v>
      </c>
      <c r="C235" s="68" t="s">
        <v>116</v>
      </c>
      <c r="D235" s="69" t="s">
        <v>87</v>
      </c>
      <c r="E235" s="101"/>
      <c r="F235" s="148">
        <f>F223</f>
        <v>1250</v>
      </c>
      <c r="G235" s="148"/>
      <c r="H235" s="83"/>
      <c r="I235" s="84"/>
      <c r="J235" s="83"/>
      <c r="K235" s="84"/>
      <c r="L235" s="83"/>
      <c r="M235" s="84"/>
      <c r="N235" s="84"/>
      <c r="O235" s="185"/>
      <c r="P235" s="23"/>
    </row>
    <row r="236" spans="1:15" s="67" customFormat="1" ht="18" customHeight="1">
      <c r="A236" s="5"/>
      <c r="B236" s="145"/>
      <c r="C236" s="63" t="s">
        <v>61</v>
      </c>
      <c r="D236" s="5" t="s">
        <v>86</v>
      </c>
      <c r="E236" s="87">
        <v>1</v>
      </c>
      <c r="F236" s="88">
        <f>F235*E236</f>
        <v>1250</v>
      </c>
      <c r="G236" s="88"/>
      <c r="H236" s="83"/>
      <c r="I236" s="84"/>
      <c r="J236" s="83"/>
      <c r="K236" s="84"/>
      <c r="L236" s="83"/>
      <c r="M236" s="84"/>
      <c r="N236" s="84"/>
      <c r="O236" s="186"/>
    </row>
    <row r="237" spans="1:15" s="67" customFormat="1" ht="18" customHeight="1">
      <c r="A237" s="5"/>
      <c r="B237" s="123"/>
      <c r="C237" s="128" t="s">
        <v>139</v>
      </c>
      <c r="D237" s="5" t="s">
        <v>74</v>
      </c>
      <c r="E237" s="101">
        <f>(1.58+0.105*25)/100</f>
        <v>0.042050000000000004</v>
      </c>
      <c r="F237" s="88">
        <f>F235*E237</f>
        <v>52.56250000000001</v>
      </c>
      <c r="G237" s="88"/>
      <c r="H237" s="83"/>
      <c r="I237" s="84"/>
      <c r="J237" s="83"/>
      <c r="K237" s="84"/>
      <c r="L237" s="83"/>
      <c r="M237" s="84"/>
      <c r="N237" s="84"/>
      <c r="O237" s="186"/>
    </row>
    <row r="238" spans="1:15" s="67" customFormat="1" ht="18" customHeight="1">
      <c r="A238" s="5"/>
      <c r="B238" s="123"/>
      <c r="C238" s="128" t="s">
        <v>111</v>
      </c>
      <c r="D238" s="5" t="s">
        <v>74</v>
      </c>
      <c r="E238" s="87">
        <v>1.15</v>
      </c>
      <c r="F238" s="88">
        <f>F237*E238</f>
        <v>60.446875000000006</v>
      </c>
      <c r="G238" s="88"/>
      <c r="H238" s="83"/>
      <c r="I238" s="84"/>
      <c r="J238" s="83"/>
      <c r="K238" s="84"/>
      <c r="L238" s="83"/>
      <c r="M238" s="84"/>
      <c r="N238" s="84"/>
      <c r="O238" s="186"/>
    </row>
    <row r="239" spans="1:15" s="67" customFormat="1" ht="18" customHeight="1">
      <c r="A239" s="5"/>
      <c r="B239" s="123"/>
      <c r="C239" s="128" t="s">
        <v>95</v>
      </c>
      <c r="D239" s="5" t="s">
        <v>81</v>
      </c>
      <c r="E239" s="101">
        <v>0.304</v>
      </c>
      <c r="F239" s="88">
        <f>E239*F237</f>
        <v>15.979000000000001</v>
      </c>
      <c r="G239" s="88"/>
      <c r="H239" s="83"/>
      <c r="I239" s="84"/>
      <c r="J239" s="83"/>
      <c r="K239" s="84"/>
      <c r="L239" s="83"/>
      <c r="M239" s="84"/>
      <c r="N239" s="84"/>
      <c r="O239" s="186"/>
    </row>
    <row r="240" spans="1:15" s="67" customFormat="1" ht="18" customHeight="1">
      <c r="A240" s="5"/>
      <c r="B240" s="123"/>
      <c r="C240" s="63" t="s">
        <v>77</v>
      </c>
      <c r="D240" s="5" t="s">
        <v>15</v>
      </c>
      <c r="E240" s="101">
        <v>0.064</v>
      </c>
      <c r="F240" s="88">
        <f>F235*E240</f>
        <v>80</v>
      </c>
      <c r="G240" s="88"/>
      <c r="H240" s="83"/>
      <c r="I240" s="84"/>
      <c r="J240" s="83"/>
      <c r="K240" s="84"/>
      <c r="L240" s="83"/>
      <c r="M240" s="84"/>
      <c r="N240" s="84"/>
      <c r="O240" s="124"/>
    </row>
    <row r="241" spans="1:15" ht="39" customHeight="1">
      <c r="A241" s="5">
        <f>A235+1</f>
        <v>28</v>
      </c>
      <c r="B241" s="94" t="s">
        <v>28</v>
      </c>
      <c r="C241" s="68" t="s">
        <v>114</v>
      </c>
      <c r="D241" s="69" t="s">
        <v>87</v>
      </c>
      <c r="E241" s="101"/>
      <c r="F241" s="148">
        <f>F223</f>
        <v>1250</v>
      </c>
      <c r="G241" s="148"/>
      <c r="H241" s="83"/>
      <c r="I241" s="84"/>
      <c r="J241" s="83"/>
      <c r="K241" s="84"/>
      <c r="L241" s="83"/>
      <c r="M241" s="84"/>
      <c r="N241" s="84"/>
      <c r="O241" s="185"/>
    </row>
    <row r="242" spans="1:15" ht="18" customHeight="1">
      <c r="A242" s="5"/>
      <c r="B242" s="183"/>
      <c r="C242" s="63" t="s">
        <v>61</v>
      </c>
      <c r="D242" s="5" t="s">
        <v>86</v>
      </c>
      <c r="E242" s="87">
        <v>1</v>
      </c>
      <c r="F242" s="106">
        <f>F241*E242</f>
        <v>1250</v>
      </c>
      <c r="G242" s="106"/>
      <c r="H242" s="83"/>
      <c r="I242" s="84"/>
      <c r="J242" s="83"/>
      <c r="K242" s="84"/>
      <c r="L242" s="83"/>
      <c r="M242" s="84"/>
      <c r="N242" s="84"/>
      <c r="O242" s="186"/>
    </row>
    <row r="243" spans="1:15" ht="18" customHeight="1">
      <c r="A243" s="5"/>
      <c r="B243" s="145" t="s">
        <v>11</v>
      </c>
      <c r="C243" s="128" t="s">
        <v>106</v>
      </c>
      <c r="D243" s="4" t="s">
        <v>138</v>
      </c>
      <c r="E243" s="101">
        <v>0.3</v>
      </c>
      <c r="F243" s="88">
        <f>F241*E243</f>
        <v>375</v>
      </c>
      <c r="G243" s="88"/>
      <c r="H243" s="83"/>
      <c r="I243" s="84"/>
      <c r="J243" s="83"/>
      <c r="K243" s="84"/>
      <c r="L243" s="83"/>
      <c r="M243" s="84"/>
      <c r="N243" s="84"/>
      <c r="O243" s="186"/>
    </row>
    <row r="244" spans="1:15" ht="18" customHeight="1">
      <c r="A244" s="5"/>
      <c r="B244" s="123" t="s">
        <v>11</v>
      </c>
      <c r="C244" s="128" t="s">
        <v>107</v>
      </c>
      <c r="D244" s="5" t="s">
        <v>86</v>
      </c>
      <c r="E244" s="101">
        <v>1.25</v>
      </c>
      <c r="F244" s="88">
        <f>E244*F241</f>
        <v>1562.5</v>
      </c>
      <c r="G244" s="88"/>
      <c r="H244" s="83"/>
      <c r="I244" s="84"/>
      <c r="J244" s="83"/>
      <c r="K244" s="84"/>
      <c r="L244" s="83"/>
      <c r="M244" s="84"/>
      <c r="N244" s="84"/>
      <c r="O244" s="186"/>
    </row>
    <row r="245" spans="1:15" s="67" customFormat="1" ht="18" customHeight="1">
      <c r="A245" s="5"/>
      <c r="B245" s="123" t="s">
        <v>103</v>
      </c>
      <c r="C245" s="128" t="s">
        <v>108</v>
      </c>
      <c r="D245" s="5" t="s">
        <v>86</v>
      </c>
      <c r="E245" s="101">
        <v>1.25</v>
      </c>
      <c r="F245" s="88">
        <f>E245*F241</f>
        <v>1562.5</v>
      </c>
      <c r="G245" s="88"/>
      <c r="H245" s="83"/>
      <c r="I245" s="84"/>
      <c r="J245" s="83"/>
      <c r="K245" s="84"/>
      <c r="L245" s="83"/>
      <c r="M245" s="84"/>
      <c r="N245" s="84"/>
      <c r="O245" s="186"/>
    </row>
    <row r="246" spans="1:15" s="67" customFormat="1" ht="18" customHeight="1">
      <c r="A246" s="5"/>
      <c r="B246" s="123"/>
      <c r="C246" s="128" t="s">
        <v>109</v>
      </c>
      <c r="D246" s="4" t="s">
        <v>138</v>
      </c>
      <c r="E246" s="101">
        <v>0.4</v>
      </c>
      <c r="F246" s="88">
        <f>E246*F241</f>
        <v>500</v>
      </c>
      <c r="G246" s="88"/>
      <c r="H246" s="83"/>
      <c r="I246" s="84"/>
      <c r="J246" s="83"/>
      <c r="K246" s="84"/>
      <c r="L246" s="83"/>
      <c r="M246" s="84"/>
      <c r="N246" s="84"/>
      <c r="O246" s="186"/>
    </row>
    <row r="247" spans="1:15" s="67" customFormat="1" ht="18" customHeight="1">
      <c r="A247" s="5"/>
      <c r="B247" s="123"/>
      <c r="C247" s="63" t="s">
        <v>77</v>
      </c>
      <c r="D247" s="5" t="s">
        <v>15</v>
      </c>
      <c r="E247" s="101">
        <v>0.039</v>
      </c>
      <c r="F247" s="88">
        <f>F241*E247</f>
        <v>48.75</v>
      </c>
      <c r="G247" s="88"/>
      <c r="H247" s="83"/>
      <c r="I247" s="84"/>
      <c r="J247" s="83"/>
      <c r="K247" s="84"/>
      <c r="L247" s="83"/>
      <c r="M247" s="84"/>
      <c r="N247" s="84"/>
      <c r="O247" s="124"/>
    </row>
    <row r="248" spans="1:16" s="61" customFormat="1" ht="39" customHeight="1">
      <c r="A248" s="5">
        <f>A241+1</f>
        <v>29</v>
      </c>
      <c r="B248" s="94" t="s">
        <v>8</v>
      </c>
      <c r="C248" s="68" t="s">
        <v>101</v>
      </c>
      <c r="D248" s="69" t="s">
        <v>87</v>
      </c>
      <c r="E248" s="101"/>
      <c r="F248" s="148">
        <v>1.75</v>
      </c>
      <c r="G248" s="148"/>
      <c r="H248" s="83"/>
      <c r="I248" s="84"/>
      <c r="J248" s="83"/>
      <c r="K248" s="84"/>
      <c r="L248" s="83"/>
      <c r="M248" s="84"/>
      <c r="N248" s="84"/>
      <c r="O248" s="185"/>
      <c r="P248" s="23"/>
    </row>
    <row r="249" spans="1:15" s="67" customFormat="1" ht="18" customHeight="1">
      <c r="A249" s="5"/>
      <c r="B249" s="145"/>
      <c r="C249" s="63" t="s">
        <v>61</v>
      </c>
      <c r="D249" s="5" t="s">
        <v>86</v>
      </c>
      <c r="E249" s="87">
        <v>1</v>
      </c>
      <c r="F249" s="43">
        <f>F248*E249</f>
        <v>1.75</v>
      </c>
      <c r="G249" s="43"/>
      <c r="H249" s="83"/>
      <c r="I249" s="84"/>
      <c r="J249" s="83"/>
      <c r="K249" s="84"/>
      <c r="L249" s="83"/>
      <c r="M249" s="84"/>
      <c r="N249" s="84"/>
      <c r="O249" s="124"/>
    </row>
    <row r="250" spans="1:15" s="188" customFormat="1" ht="18" customHeight="1">
      <c r="A250" s="5"/>
      <c r="B250" s="123" t="s">
        <v>11</v>
      </c>
      <c r="C250" s="128" t="s">
        <v>132</v>
      </c>
      <c r="D250" s="5" t="s">
        <v>86</v>
      </c>
      <c r="E250" s="87">
        <v>1.1</v>
      </c>
      <c r="F250" s="88">
        <f>E250*F248</f>
        <v>1.9250000000000003</v>
      </c>
      <c r="G250" s="88"/>
      <c r="H250" s="83"/>
      <c r="I250" s="84"/>
      <c r="J250" s="83"/>
      <c r="K250" s="84"/>
      <c r="L250" s="83"/>
      <c r="M250" s="84"/>
      <c r="N250" s="84"/>
      <c r="O250" s="187"/>
    </row>
    <row r="251" spans="1:15" s="67" customFormat="1" ht="18" customHeight="1">
      <c r="A251" s="5"/>
      <c r="B251" s="123"/>
      <c r="C251" s="63" t="s">
        <v>77</v>
      </c>
      <c r="D251" s="5" t="s">
        <v>15</v>
      </c>
      <c r="E251" s="101">
        <v>0.078</v>
      </c>
      <c r="F251" s="88">
        <f>F248*E251</f>
        <v>0.1365</v>
      </c>
      <c r="G251" s="88"/>
      <c r="H251" s="83"/>
      <c r="I251" s="84"/>
      <c r="J251" s="83"/>
      <c r="K251" s="84"/>
      <c r="L251" s="83"/>
      <c r="M251" s="84"/>
      <c r="N251" s="84"/>
      <c r="O251" s="124"/>
    </row>
    <row r="252" spans="1:16" s="61" customFormat="1" ht="39" customHeight="1">
      <c r="A252" s="5">
        <f>A248+1</f>
        <v>30</v>
      </c>
      <c r="B252" s="94" t="s">
        <v>8</v>
      </c>
      <c r="C252" s="68" t="s">
        <v>102</v>
      </c>
      <c r="D252" s="69" t="s">
        <v>87</v>
      </c>
      <c r="E252" s="101"/>
      <c r="F252" s="148">
        <f>210*0.6</f>
        <v>126</v>
      </c>
      <c r="G252" s="148"/>
      <c r="H252" s="83"/>
      <c r="I252" s="84"/>
      <c r="J252" s="83"/>
      <c r="K252" s="84"/>
      <c r="L252" s="83"/>
      <c r="M252" s="84"/>
      <c r="N252" s="84"/>
      <c r="O252" s="185"/>
      <c r="P252" s="23"/>
    </row>
    <row r="253" spans="1:15" s="67" customFormat="1" ht="18" customHeight="1">
      <c r="A253" s="5"/>
      <c r="B253" s="145"/>
      <c r="C253" s="63" t="s">
        <v>61</v>
      </c>
      <c r="D253" s="5" t="s">
        <v>86</v>
      </c>
      <c r="E253" s="87">
        <v>1</v>
      </c>
      <c r="F253" s="106">
        <f>E253*F252</f>
        <v>126</v>
      </c>
      <c r="G253" s="106"/>
      <c r="H253" s="83"/>
      <c r="I253" s="84"/>
      <c r="J253" s="83"/>
      <c r="K253" s="84"/>
      <c r="L253" s="83"/>
      <c r="M253" s="84"/>
      <c r="N253" s="84"/>
      <c r="O253" s="124"/>
    </row>
    <row r="254" spans="1:15" s="143" customFormat="1" ht="18" customHeight="1">
      <c r="A254" s="5"/>
      <c r="B254" s="123" t="s">
        <v>11</v>
      </c>
      <c r="C254" s="128" t="s">
        <v>132</v>
      </c>
      <c r="D254" s="5" t="s">
        <v>86</v>
      </c>
      <c r="E254" s="101">
        <v>1.21</v>
      </c>
      <c r="F254" s="106">
        <f>E254*F252</f>
        <v>152.46</v>
      </c>
      <c r="G254" s="106"/>
      <c r="H254" s="83"/>
      <c r="I254" s="84"/>
      <c r="J254" s="83"/>
      <c r="K254" s="84"/>
      <c r="L254" s="83"/>
      <c r="M254" s="84"/>
      <c r="N254" s="84"/>
      <c r="O254" s="142"/>
    </row>
    <row r="255" spans="1:15" s="67" customFormat="1" ht="18" customHeight="1">
      <c r="A255" s="5"/>
      <c r="B255" s="123"/>
      <c r="C255" s="63" t="s">
        <v>77</v>
      </c>
      <c r="D255" s="5" t="s">
        <v>15</v>
      </c>
      <c r="E255" s="101">
        <f>7.8/100</f>
        <v>0.078</v>
      </c>
      <c r="F255" s="88">
        <f>F252*E255</f>
        <v>9.828</v>
      </c>
      <c r="G255" s="88"/>
      <c r="H255" s="83"/>
      <c r="I255" s="84"/>
      <c r="J255" s="83"/>
      <c r="K255" s="84"/>
      <c r="L255" s="83"/>
      <c r="M255" s="84"/>
      <c r="N255" s="84"/>
      <c r="O255" s="124"/>
    </row>
    <row r="256" spans="1:15" s="46" customFormat="1" ht="21" customHeight="1">
      <c r="A256" s="432"/>
      <c r="B256" s="127"/>
      <c r="C256" s="434" t="s">
        <v>467</v>
      </c>
      <c r="D256" s="433"/>
      <c r="E256" s="101"/>
      <c r="F256" s="42"/>
      <c r="G256" s="42"/>
      <c r="H256" s="83"/>
      <c r="I256" s="84"/>
      <c r="J256" s="83"/>
      <c r="K256" s="84"/>
      <c r="L256" s="83"/>
      <c r="M256" s="84"/>
      <c r="N256" s="84"/>
      <c r="O256" s="45"/>
    </row>
    <row r="257" spans="1:15" s="229" customFormat="1" ht="39" customHeight="1">
      <c r="A257" s="222">
        <f>A171+1</f>
        <v>23</v>
      </c>
      <c r="B257" s="223" t="s">
        <v>484</v>
      </c>
      <c r="C257" s="68" t="s">
        <v>502</v>
      </c>
      <c r="D257" s="69" t="s">
        <v>73</v>
      </c>
      <c r="E257" s="101"/>
      <c r="F257" s="225">
        <f>SUM(F259:F261)</f>
        <v>1.6170000000000002</v>
      </c>
      <c r="G257" s="225"/>
      <c r="H257" s="83"/>
      <c r="I257" s="84"/>
      <c r="J257" s="83"/>
      <c r="K257" s="84"/>
      <c r="L257" s="83"/>
      <c r="M257" s="84"/>
      <c r="N257" s="84"/>
      <c r="O257" s="415"/>
    </row>
    <row r="258" spans="1:15" s="232" customFormat="1" ht="17.25" customHeight="1">
      <c r="A258" s="230"/>
      <c r="B258" s="223"/>
      <c r="C258" s="63" t="s">
        <v>61</v>
      </c>
      <c r="D258" s="5" t="s">
        <v>74</v>
      </c>
      <c r="E258" s="87">
        <v>1</v>
      </c>
      <c r="F258" s="231">
        <f>F257*E258</f>
        <v>1.6170000000000002</v>
      </c>
      <c r="G258" s="231"/>
      <c r="H258" s="83"/>
      <c r="I258" s="84"/>
      <c r="J258" s="83"/>
      <c r="K258" s="84"/>
      <c r="L258" s="83"/>
      <c r="M258" s="84"/>
      <c r="N258" s="84"/>
      <c r="O258" s="416"/>
    </row>
    <row r="259" spans="1:15" s="232" customFormat="1" ht="17.25" customHeight="1">
      <c r="A259" s="230"/>
      <c r="B259" s="417" t="s">
        <v>485</v>
      </c>
      <c r="C259" s="63" t="s">
        <v>500</v>
      </c>
      <c r="D259" s="5" t="s">
        <v>74</v>
      </c>
      <c r="E259" s="87">
        <v>1.05</v>
      </c>
      <c r="F259" s="231">
        <f>0.1*E259</f>
        <v>0.10500000000000001</v>
      </c>
      <c r="G259" s="231"/>
      <c r="H259" s="83"/>
      <c r="I259" s="84"/>
      <c r="J259" s="83"/>
      <c r="K259" s="84"/>
      <c r="L259" s="83"/>
      <c r="M259" s="84"/>
      <c r="N259" s="84"/>
      <c r="O259" s="416"/>
    </row>
    <row r="260" spans="1:15" s="232" customFormat="1" ht="17.25" customHeight="1">
      <c r="A260" s="230"/>
      <c r="B260" s="417"/>
      <c r="C260" s="63" t="s">
        <v>496</v>
      </c>
      <c r="D260" s="5" t="s">
        <v>74</v>
      </c>
      <c r="E260" s="87">
        <v>1.05</v>
      </c>
      <c r="F260" s="231">
        <f>0.53*E260</f>
        <v>0.5565000000000001</v>
      </c>
      <c r="G260" s="231"/>
      <c r="H260" s="83"/>
      <c r="I260" s="84"/>
      <c r="J260" s="83"/>
      <c r="K260" s="84"/>
      <c r="L260" s="83"/>
      <c r="M260" s="84"/>
      <c r="N260" s="84"/>
      <c r="O260" s="416"/>
    </row>
    <row r="261" spans="1:15" s="232" customFormat="1" ht="17.25" customHeight="1">
      <c r="A261" s="230"/>
      <c r="B261" s="417"/>
      <c r="C261" s="63" t="s">
        <v>497</v>
      </c>
      <c r="D261" s="5" t="s">
        <v>74</v>
      </c>
      <c r="E261" s="87">
        <v>1.05</v>
      </c>
      <c r="F261" s="231">
        <f>0.91*E261</f>
        <v>0.9555000000000001</v>
      </c>
      <c r="G261" s="231"/>
      <c r="H261" s="83"/>
      <c r="I261" s="84"/>
      <c r="J261" s="83"/>
      <c r="K261" s="84"/>
      <c r="L261" s="83"/>
      <c r="M261" s="84"/>
      <c r="N261" s="84"/>
      <c r="O261" s="416"/>
    </row>
    <row r="262" spans="1:15" s="232" customFormat="1" ht="17.25" customHeight="1">
      <c r="A262" s="230"/>
      <c r="B262" s="417"/>
      <c r="C262" s="63" t="s">
        <v>628</v>
      </c>
      <c r="D262" s="5" t="s">
        <v>92</v>
      </c>
      <c r="E262" s="87">
        <v>1</v>
      </c>
      <c r="F262" s="231">
        <v>8</v>
      </c>
      <c r="G262" s="231"/>
      <c r="H262" s="83"/>
      <c r="I262" s="84"/>
      <c r="J262" s="83"/>
      <c r="K262" s="84"/>
      <c r="L262" s="83"/>
      <c r="M262" s="84"/>
      <c r="N262" s="84"/>
      <c r="O262" s="416"/>
    </row>
    <row r="263" spans="1:15" s="232" customFormat="1" ht="17.25" customHeight="1">
      <c r="A263" s="230"/>
      <c r="B263" s="417"/>
      <c r="C263" s="63" t="s">
        <v>501</v>
      </c>
      <c r="D263" s="5" t="s">
        <v>92</v>
      </c>
      <c r="E263" s="87">
        <v>1</v>
      </c>
      <c r="F263" s="231">
        <v>2</v>
      </c>
      <c r="G263" s="231"/>
      <c r="H263" s="83"/>
      <c r="I263" s="84"/>
      <c r="J263" s="83"/>
      <c r="K263" s="84"/>
      <c r="L263" s="83"/>
      <c r="M263" s="84"/>
      <c r="N263" s="84"/>
      <c r="O263" s="416"/>
    </row>
    <row r="264" spans="1:15" s="232" customFormat="1" ht="17.25" customHeight="1">
      <c r="A264" s="230"/>
      <c r="B264" s="223"/>
      <c r="C264" s="63" t="s">
        <v>498</v>
      </c>
      <c r="D264" s="4" t="s">
        <v>138</v>
      </c>
      <c r="E264" s="87">
        <v>7.2</v>
      </c>
      <c r="F264" s="231">
        <f>E264*F257</f>
        <v>11.642400000000002</v>
      </c>
      <c r="G264" s="231"/>
      <c r="H264" s="83"/>
      <c r="I264" s="84"/>
      <c r="J264" s="83"/>
      <c r="K264" s="84"/>
      <c r="L264" s="83"/>
      <c r="M264" s="84"/>
      <c r="N264" s="84"/>
      <c r="O264" s="416"/>
    </row>
    <row r="265" spans="1:15" s="232" customFormat="1" ht="17.25" customHeight="1">
      <c r="A265" s="230"/>
      <c r="B265" s="223"/>
      <c r="C265" s="63" t="s">
        <v>78</v>
      </c>
      <c r="D265" s="4" t="s">
        <v>138</v>
      </c>
      <c r="E265" s="87">
        <v>4.38</v>
      </c>
      <c r="F265" s="231">
        <f>E265*F258</f>
        <v>7.082460000000001</v>
      </c>
      <c r="G265" s="231"/>
      <c r="H265" s="83"/>
      <c r="I265" s="84"/>
      <c r="J265" s="83"/>
      <c r="K265" s="84"/>
      <c r="L265" s="83"/>
      <c r="M265" s="84"/>
      <c r="N265" s="84"/>
      <c r="O265" s="416"/>
    </row>
    <row r="266" spans="1:15" s="232" customFormat="1" ht="17.25" customHeight="1">
      <c r="A266" s="230"/>
      <c r="B266" s="223"/>
      <c r="C266" s="63" t="s">
        <v>77</v>
      </c>
      <c r="D266" s="5" t="s">
        <v>15</v>
      </c>
      <c r="E266" s="101">
        <v>3.44</v>
      </c>
      <c r="F266" s="231">
        <f>F257*E266</f>
        <v>5.562480000000001</v>
      </c>
      <c r="G266" s="231"/>
      <c r="H266" s="83"/>
      <c r="I266" s="84"/>
      <c r="J266" s="83"/>
      <c r="K266" s="84"/>
      <c r="L266" s="83"/>
      <c r="M266" s="84"/>
      <c r="N266" s="84"/>
      <c r="O266" s="416"/>
    </row>
    <row r="267" spans="1:15" s="229" customFormat="1" ht="36" customHeight="1">
      <c r="A267" s="222">
        <f>A257+1</f>
        <v>24</v>
      </c>
      <c r="B267" s="223" t="s">
        <v>486</v>
      </c>
      <c r="C267" s="68" t="s">
        <v>504</v>
      </c>
      <c r="D267" s="69" t="s">
        <v>73</v>
      </c>
      <c r="E267" s="101"/>
      <c r="F267" s="225">
        <f>F257</f>
        <v>1.6170000000000002</v>
      </c>
      <c r="G267" s="225"/>
      <c r="H267" s="83"/>
      <c r="I267" s="84"/>
      <c r="J267" s="83"/>
      <c r="K267" s="84"/>
      <c r="L267" s="83"/>
      <c r="M267" s="84"/>
      <c r="N267" s="84"/>
      <c r="O267" s="415"/>
    </row>
    <row r="268" spans="1:15" s="232" customFormat="1" ht="17.25" customHeight="1">
      <c r="A268" s="230"/>
      <c r="B268" s="223"/>
      <c r="C268" s="63" t="s">
        <v>61</v>
      </c>
      <c r="D268" s="5" t="s">
        <v>74</v>
      </c>
      <c r="E268" s="87">
        <v>1</v>
      </c>
      <c r="F268" s="231">
        <f>F267*E268</f>
        <v>1.6170000000000002</v>
      </c>
      <c r="G268" s="231"/>
      <c r="H268" s="83"/>
      <c r="I268" s="84"/>
      <c r="J268" s="83"/>
      <c r="K268" s="84"/>
      <c r="L268" s="83"/>
      <c r="M268" s="84"/>
      <c r="N268" s="84"/>
      <c r="O268" s="416"/>
    </row>
    <row r="269" spans="1:15" s="232" customFormat="1" ht="17.25" customHeight="1">
      <c r="A269" s="230"/>
      <c r="B269" s="223" t="s">
        <v>196</v>
      </c>
      <c r="C269" s="63" t="s">
        <v>642</v>
      </c>
      <c r="D269" s="5" t="s">
        <v>138</v>
      </c>
      <c r="E269" s="87">
        <f>7.2+1.79+1.07</f>
        <v>10.06</v>
      </c>
      <c r="F269" s="231">
        <f>E269*F267</f>
        <v>16.267020000000002</v>
      </c>
      <c r="G269" s="231"/>
      <c r="H269" s="83"/>
      <c r="I269" s="84"/>
      <c r="J269" s="83"/>
      <c r="K269" s="84"/>
      <c r="L269" s="83"/>
      <c r="M269" s="84"/>
      <c r="N269" s="84"/>
      <c r="O269" s="416"/>
    </row>
    <row r="270" spans="1:15" s="232" customFormat="1" ht="17.25" customHeight="1">
      <c r="A270" s="230"/>
      <c r="B270" s="223"/>
      <c r="C270" s="63" t="s">
        <v>77</v>
      </c>
      <c r="D270" s="5" t="s">
        <v>15</v>
      </c>
      <c r="E270" s="101">
        <v>0.1</v>
      </c>
      <c r="F270" s="231">
        <f>F267*E270</f>
        <v>0.16170000000000004</v>
      </c>
      <c r="G270" s="231"/>
      <c r="H270" s="83"/>
      <c r="I270" s="84"/>
      <c r="J270" s="83"/>
      <c r="K270" s="84"/>
      <c r="L270" s="83"/>
      <c r="M270" s="84"/>
      <c r="N270" s="84"/>
      <c r="O270" s="416"/>
    </row>
    <row r="271" spans="1:15" s="229" customFormat="1" ht="36" customHeight="1">
      <c r="A271" s="222">
        <f>A267+1</f>
        <v>25</v>
      </c>
      <c r="B271" s="223" t="s">
        <v>487</v>
      </c>
      <c r="C271" s="68" t="s">
        <v>505</v>
      </c>
      <c r="D271" s="69" t="s">
        <v>87</v>
      </c>
      <c r="E271" s="101"/>
      <c r="F271" s="225">
        <f>F275</f>
        <v>36</v>
      </c>
      <c r="G271" s="225"/>
      <c r="H271" s="83"/>
      <c r="I271" s="84"/>
      <c r="J271" s="83"/>
      <c r="K271" s="84"/>
      <c r="L271" s="83"/>
      <c r="M271" s="84"/>
      <c r="N271" s="84"/>
      <c r="O271" s="415"/>
    </row>
    <row r="272" spans="1:15" s="232" customFormat="1" ht="17.25" customHeight="1">
      <c r="A272" s="230"/>
      <c r="B272" s="223"/>
      <c r="C272" s="63" t="s">
        <v>61</v>
      </c>
      <c r="D272" s="69" t="s">
        <v>87</v>
      </c>
      <c r="E272" s="87">
        <v>1</v>
      </c>
      <c r="F272" s="231">
        <f>F271*E272</f>
        <v>36</v>
      </c>
      <c r="G272" s="231"/>
      <c r="H272" s="83"/>
      <c r="I272" s="84"/>
      <c r="J272" s="83"/>
      <c r="K272" s="84"/>
      <c r="L272" s="83"/>
      <c r="M272" s="84"/>
      <c r="N272" s="84"/>
      <c r="O272" s="416"/>
    </row>
    <row r="273" spans="1:15" s="232" customFormat="1" ht="17.25" customHeight="1">
      <c r="A273" s="230"/>
      <c r="B273" s="223" t="s">
        <v>196</v>
      </c>
      <c r="C273" s="63" t="s">
        <v>643</v>
      </c>
      <c r="D273" s="5" t="s">
        <v>138</v>
      </c>
      <c r="E273" s="101">
        <v>0.15</v>
      </c>
      <c r="F273" s="231">
        <f>E273*F271</f>
        <v>5.3999999999999995</v>
      </c>
      <c r="G273" s="231"/>
      <c r="H273" s="83"/>
      <c r="I273" s="84"/>
      <c r="J273" s="83"/>
      <c r="K273" s="84"/>
      <c r="L273" s="83"/>
      <c r="M273" s="84"/>
      <c r="N273" s="84"/>
      <c r="O273" s="416"/>
    </row>
    <row r="274" spans="1:15" s="232" customFormat="1" ht="17.25" customHeight="1">
      <c r="A274" s="230"/>
      <c r="B274" s="223"/>
      <c r="C274" s="63" t="s">
        <v>77</v>
      </c>
      <c r="D274" s="5" t="s">
        <v>15</v>
      </c>
      <c r="E274" s="101">
        <v>0.1</v>
      </c>
      <c r="F274" s="231">
        <f>F271*E274</f>
        <v>3.6</v>
      </c>
      <c r="G274" s="231"/>
      <c r="H274" s="83"/>
      <c r="I274" s="84"/>
      <c r="J274" s="83"/>
      <c r="K274" s="84"/>
      <c r="L274" s="83"/>
      <c r="M274" s="84"/>
      <c r="N274" s="84"/>
      <c r="O274" s="416"/>
    </row>
    <row r="275" spans="1:15" s="229" customFormat="1" ht="24" customHeight="1">
      <c r="A275" s="222">
        <f>A271+1</f>
        <v>26</v>
      </c>
      <c r="B275" s="223" t="s">
        <v>488</v>
      </c>
      <c r="C275" s="68" t="s">
        <v>720</v>
      </c>
      <c r="D275" s="69" t="s">
        <v>87</v>
      </c>
      <c r="E275" s="101"/>
      <c r="F275" s="225">
        <v>36</v>
      </c>
      <c r="G275" s="225"/>
      <c r="H275" s="83"/>
      <c r="I275" s="84"/>
      <c r="J275" s="83"/>
      <c r="K275" s="84"/>
      <c r="L275" s="83"/>
      <c r="M275" s="84"/>
      <c r="N275" s="84"/>
      <c r="O275" s="415"/>
    </row>
    <row r="276" spans="1:15" s="232" customFormat="1" ht="17.25" customHeight="1">
      <c r="A276" s="230"/>
      <c r="B276" s="223"/>
      <c r="C276" s="63" t="s">
        <v>61</v>
      </c>
      <c r="D276" s="5" t="s">
        <v>86</v>
      </c>
      <c r="E276" s="87">
        <v>1</v>
      </c>
      <c r="F276" s="231">
        <f>F275*E276</f>
        <v>36</v>
      </c>
      <c r="G276" s="231"/>
      <c r="H276" s="83"/>
      <c r="I276" s="84"/>
      <c r="J276" s="83"/>
      <c r="K276" s="84"/>
      <c r="L276" s="83"/>
      <c r="M276" s="84"/>
      <c r="N276" s="84"/>
      <c r="O276" s="416"/>
    </row>
    <row r="277" spans="1:15" s="232" customFormat="1" ht="17.25" customHeight="1">
      <c r="A277" s="230"/>
      <c r="B277" s="245" t="s">
        <v>489</v>
      </c>
      <c r="C277" s="63" t="s">
        <v>689</v>
      </c>
      <c r="D277" s="5" t="s">
        <v>86</v>
      </c>
      <c r="E277" s="101">
        <v>1.28</v>
      </c>
      <c r="F277" s="231">
        <f>E277*F275</f>
        <v>46.08</v>
      </c>
      <c r="G277" s="231"/>
      <c r="H277" s="83"/>
      <c r="I277" s="84"/>
      <c r="J277" s="83"/>
      <c r="K277" s="84"/>
      <c r="L277" s="83"/>
      <c r="M277" s="84"/>
      <c r="N277" s="84"/>
      <c r="O277" s="416"/>
    </row>
    <row r="278" spans="1:15" s="232" customFormat="1" ht="17.25" customHeight="1">
      <c r="A278" s="230"/>
      <c r="B278" s="417" t="s">
        <v>485</v>
      </c>
      <c r="C278" s="63" t="s">
        <v>688</v>
      </c>
      <c r="D278" s="5" t="s">
        <v>74</v>
      </c>
      <c r="E278" s="101">
        <f>(0.76+0.13+0.3)/100*2</f>
        <v>0.023799999999999998</v>
      </c>
      <c r="F278" s="231">
        <f>F275*E278</f>
        <v>0.8567999999999999</v>
      </c>
      <c r="G278" s="231"/>
      <c r="H278" s="83"/>
      <c r="I278" s="84"/>
      <c r="J278" s="83"/>
      <c r="K278" s="84"/>
      <c r="L278" s="83"/>
      <c r="M278" s="84"/>
      <c r="N278" s="84"/>
      <c r="O278" s="418"/>
    </row>
    <row r="279" spans="1:15" s="232" customFormat="1" ht="17.25" customHeight="1">
      <c r="A279" s="230"/>
      <c r="B279" s="223" t="s">
        <v>490</v>
      </c>
      <c r="C279" s="63" t="s">
        <v>687</v>
      </c>
      <c r="D279" s="5" t="s">
        <v>138</v>
      </c>
      <c r="E279" s="101">
        <f>(0.03*1000+5+10)/100</f>
        <v>0.45</v>
      </c>
      <c r="F279" s="231">
        <f>E279*F275</f>
        <v>16.2</v>
      </c>
      <c r="G279" s="231"/>
      <c r="H279" s="83"/>
      <c r="I279" s="84"/>
      <c r="J279" s="83"/>
      <c r="K279" s="84"/>
      <c r="L279" s="83"/>
      <c r="M279" s="84"/>
      <c r="N279" s="84"/>
      <c r="O279" s="416"/>
    </row>
    <row r="280" spans="1:15" s="232" customFormat="1" ht="17.25" customHeight="1">
      <c r="A280" s="230"/>
      <c r="B280" s="223" t="s">
        <v>207</v>
      </c>
      <c r="C280" s="63" t="s">
        <v>213</v>
      </c>
      <c r="D280" s="5" t="s">
        <v>138</v>
      </c>
      <c r="E280" s="101">
        <f>10.6/100</f>
        <v>0.106</v>
      </c>
      <c r="F280" s="231">
        <f>E280*F275</f>
        <v>3.816</v>
      </c>
      <c r="G280" s="231"/>
      <c r="H280" s="83"/>
      <c r="I280" s="84"/>
      <c r="J280" s="83"/>
      <c r="K280" s="84"/>
      <c r="L280" s="83"/>
      <c r="M280" s="84"/>
      <c r="N280" s="84"/>
      <c r="O280" s="416"/>
    </row>
    <row r="281" spans="1:15" s="232" customFormat="1" ht="17.25" customHeight="1">
      <c r="A281" s="230"/>
      <c r="B281" s="223"/>
      <c r="C281" s="63" t="s">
        <v>77</v>
      </c>
      <c r="D281" s="5" t="s">
        <v>15</v>
      </c>
      <c r="E281" s="101">
        <f>8.28/100</f>
        <v>0.0828</v>
      </c>
      <c r="F281" s="231">
        <f>F275*E281</f>
        <v>2.9808</v>
      </c>
      <c r="G281" s="231"/>
      <c r="H281" s="83"/>
      <c r="I281" s="84"/>
      <c r="J281" s="83"/>
      <c r="K281" s="84"/>
      <c r="L281" s="83"/>
      <c r="M281" s="84"/>
      <c r="N281" s="84"/>
      <c r="O281" s="416"/>
    </row>
    <row r="282" spans="1:15" s="229" customFormat="1" ht="36" customHeight="1">
      <c r="A282" s="222">
        <f>A275+1</f>
        <v>27</v>
      </c>
      <c r="B282" s="223" t="s">
        <v>491</v>
      </c>
      <c r="C282" s="68" t="s">
        <v>722</v>
      </c>
      <c r="D282" s="69" t="s">
        <v>87</v>
      </c>
      <c r="E282" s="101"/>
      <c r="F282" s="225">
        <v>28.2</v>
      </c>
      <c r="G282" s="225"/>
      <c r="H282" s="83"/>
      <c r="I282" s="84"/>
      <c r="J282" s="83"/>
      <c r="K282" s="84"/>
      <c r="L282" s="83"/>
      <c r="M282" s="84"/>
      <c r="N282" s="84"/>
      <c r="O282" s="415"/>
    </row>
    <row r="283" spans="1:15" s="232" customFormat="1" ht="17.25" customHeight="1">
      <c r="A283" s="230"/>
      <c r="B283" s="223"/>
      <c r="C283" s="63" t="s">
        <v>61</v>
      </c>
      <c r="D283" s="5" t="s">
        <v>86</v>
      </c>
      <c r="E283" s="87">
        <v>1</v>
      </c>
      <c r="F283" s="43">
        <f>F282*E283</f>
        <v>28.2</v>
      </c>
      <c r="G283" s="43"/>
      <c r="H283" s="83"/>
      <c r="I283" s="84"/>
      <c r="J283" s="83"/>
      <c r="K283" s="84"/>
      <c r="L283" s="83"/>
      <c r="M283" s="84"/>
      <c r="N283" s="84"/>
      <c r="O283" s="416"/>
    </row>
    <row r="284" spans="1:15" s="232" customFormat="1" ht="17.25" customHeight="1">
      <c r="A284" s="230"/>
      <c r="B284" s="245" t="s">
        <v>492</v>
      </c>
      <c r="C284" s="63" t="s">
        <v>721</v>
      </c>
      <c r="D284" s="5" t="s">
        <v>86</v>
      </c>
      <c r="E284" s="101">
        <v>1.03</v>
      </c>
      <c r="F284" s="231">
        <f>E284*F282</f>
        <v>29.046</v>
      </c>
      <c r="G284" s="231"/>
      <c r="H284" s="83"/>
      <c r="I284" s="84"/>
      <c r="J284" s="83"/>
      <c r="K284" s="84"/>
      <c r="L284" s="83"/>
      <c r="M284" s="84"/>
      <c r="N284" s="84"/>
      <c r="O284" s="416"/>
    </row>
    <row r="285" spans="1:15" s="232" customFormat="1" ht="17.25" customHeight="1">
      <c r="A285" s="230"/>
      <c r="B285" s="245" t="s">
        <v>196</v>
      </c>
      <c r="C285" s="63" t="s">
        <v>690</v>
      </c>
      <c r="D285" s="5" t="s">
        <v>86</v>
      </c>
      <c r="E285" s="101">
        <v>1.1</v>
      </c>
      <c r="F285" s="231">
        <f>E285*F282</f>
        <v>31.020000000000003</v>
      </c>
      <c r="G285" s="231"/>
      <c r="H285" s="83"/>
      <c r="I285" s="84"/>
      <c r="J285" s="83"/>
      <c r="K285" s="84"/>
      <c r="L285" s="83"/>
      <c r="M285" s="84"/>
      <c r="N285" s="84"/>
      <c r="O285" s="416"/>
    </row>
    <row r="286" spans="1:17" s="422" customFormat="1" ht="54" customHeight="1">
      <c r="A286" s="222">
        <f>A282+1</f>
        <v>28</v>
      </c>
      <c r="B286" s="419" t="s">
        <v>493</v>
      </c>
      <c r="C286" s="468" t="s">
        <v>723</v>
      </c>
      <c r="D286" s="69" t="s">
        <v>87</v>
      </c>
      <c r="E286" s="435"/>
      <c r="F286" s="553">
        <f>F282</f>
        <v>28.2</v>
      </c>
      <c r="G286" s="553"/>
      <c r="H286" s="83"/>
      <c r="I286" s="84"/>
      <c r="J286" s="83"/>
      <c r="K286" s="84"/>
      <c r="L286" s="83"/>
      <c r="M286" s="84"/>
      <c r="N286" s="84"/>
      <c r="O286" s="420"/>
      <c r="P286" s="421"/>
      <c r="Q286" s="421"/>
    </row>
    <row r="287" spans="1:17" s="422" customFormat="1" ht="18" customHeight="1">
      <c r="A287" s="423"/>
      <c r="B287" s="424"/>
      <c r="C287" s="63" t="s">
        <v>61</v>
      </c>
      <c r="D287" s="5" t="s">
        <v>86</v>
      </c>
      <c r="E287" s="87">
        <v>1</v>
      </c>
      <c r="F287" s="43">
        <f>F286*E287</f>
        <v>28.2</v>
      </c>
      <c r="G287" s="43"/>
      <c r="H287" s="83"/>
      <c r="I287" s="84"/>
      <c r="J287" s="83"/>
      <c r="K287" s="84"/>
      <c r="L287" s="83"/>
      <c r="M287" s="84"/>
      <c r="N287" s="84"/>
      <c r="O287" s="425"/>
      <c r="P287" s="421"/>
      <c r="Q287" s="421"/>
    </row>
    <row r="288" spans="1:17" s="422" customFormat="1" ht="18" customHeight="1">
      <c r="A288" s="423"/>
      <c r="B288" s="424"/>
      <c r="C288" s="469" t="s">
        <v>706</v>
      </c>
      <c r="D288" s="97" t="s">
        <v>105</v>
      </c>
      <c r="E288" s="436">
        <f>66/100</f>
        <v>0.66</v>
      </c>
      <c r="F288" s="247">
        <f>E288*F286</f>
        <v>18.612000000000002</v>
      </c>
      <c r="G288" s="247"/>
      <c r="H288" s="83"/>
      <c r="I288" s="84"/>
      <c r="J288" s="83"/>
      <c r="K288" s="84"/>
      <c r="L288" s="83"/>
      <c r="M288" s="84"/>
      <c r="N288" s="84"/>
      <c r="O288" s="425"/>
      <c r="P288" s="421"/>
      <c r="Q288" s="421"/>
    </row>
    <row r="289" spans="1:15" s="232" customFormat="1" ht="18" customHeight="1">
      <c r="A289" s="230"/>
      <c r="B289" s="427"/>
      <c r="C289" s="469" t="s">
        <v>707</v>
      </c>
      <c r="D289" s="97" t="s">
        <v>105</v>
      </c>
      <c r="E289" s="436">
        <f>278/100</f>
        <v>2.78</v>
      </c>
      <c r="F289" s="247">
        <f>E289*F286</f>
        <v>78.39599999999999</v>
      </c>
      <c r="G289" s="247"/>
      <c r="H289" s="83"/>
      <c r="I289" s="84"/>
      <c r="J289" s="83"/>
      <c r="K289" s="84"/>
      <c r="L289" s="83"/>
      <c r="M289" s="84"/>
      <c r="N289" s="84"/>
      <c r="O289" s="426"/>
    </row>
    <row r="290" spans="1:15" s="232" customFormat="1" ht="18" customHeight="1">
      <c r="A290" s="230"/>
      <c r="B290" s="427"/>
      <c r="C290" s="469" t="s">
        <v>708</v>
      </c>
      <c r="D290" s="97" t="s">
        <v>92</v>
      </c>
      <c r="E290" s="436">
        <v>1.78</v>
      </c>
      <c r="F290" s="247">
        <f>E290*F286</f>
        <v>50.196</v>
      </c>
      <c r="G290" s="247"/>
      <c r="H290" s="83"/>
      <c r="I290" s="84"/>
      <c r="J290" s="83"/>
      <c r="K290" s="84"/>
      <c r="L290" s="83"/>
      <c r="M290" s="84"/>
      <c r="N290" s="84"/>
      <c r="O290" s="426"/>
    </row>
    <row r="291" spans="1:15" s="232" customFormat="1" ht="18" customHeight="1">
      <c r="A291" s="230"/>
      <c r="B291" s="427"/>
      <c r="C291" s="469" t="s">
        <v>708</v>
      </c>
      <c r="D291" s="97" t="s">
        <v>92</v>
      </c>
      <c r="E291" s="436">
        <v>0.16</v>
      </c>
      <c r="F291" s="247">
        <f>E291*F286</f>
        <v>4.512</v>
      </c>
      <c r="G291" s="247"/>
      <c r="H291" s="83"/>
      <c r="I291" s="84"/>
      <c r="J291" s="83"/>
      <c r="K291" s="84"/>
      <c r="L291" s="83"/>
      <c r="M291" s="84"/>
      <c r="N291" s="84"/>
      <c r="O291" s="426"/>
    </row>
    <row r="292" spans="1:15" s="232" customFormat="1" ht="18" customHeight="1">
      <c r="A292" s="230"/>
      <c r="B292" s="427"/>
      <c r="C292" s="469" t="s">
        <v>709</v>
      </c>
      <c r="D292" s="97" t="s">
        <v>92</v>
      </c>
      <c r="E292" s="436">
        <v>0.65</v>
      </c>
      <c r="F292" s="247">
        <f>E292*F286</f>
        <v>18.330000000000002</v>
      </c>
      <c r="G292" s="247"/>
      <c r="H292" s="83"/>
      <c r="I292" s="84"/>
      <c r="J292" s="83"/>
      <c r="K292" s="84"/>
      <c r="L292" s="83"/>
      <c r="M292" s="84"/>
      <c r="N292" s="84"/>
      <c r="O292" s="426"/>
    </row>
    <row r="293" spans="1:15" s="232" customFormat="1" ht="18" customHeight="1">
      <c r="A293" s="230"/>
      <c r="B293" s="427"/>
      <c r="C293" s="469" t="s">
        <v>710</v>
      </c>
      <c r="D293" s="97" t="s">
        <v>92</v>
      </c>
      <c r="E293" s="436">
        <v>1.48</v>
      </c>
      <c r="F293" s="247">
        <f>F286*E293</f>
        <v>41.736</v>
      </c>
      <c r="G293" s="247"/>
      <c r="H293" s="83"/>
      <c r="I293" s="84"/>
      <c r="J293" s="83"/>
      <c r="K293" s="84"/>
      <c r="L293" s="83"/>
      <c r="M293" s="84"/>
      <c r="N293" s="84"/>
      <c r="O293" s="426"/>
    </row>
    <row r="294" spans="1:15" s="232" customFormat="1" ht="18" customHeight="1">
      <c r="A294" s="230"/>
      <c r="B294" s="427"/>
      <c r="C294" s="469" t="s">
        <v>711</v>
      </c>
      <c r="D294" s="97" t="s">
        <v>92</v>
      </c>
      <c r="E294" s="436">
        <v>0.65</v>
      </c>
      <c r="F294" s="247">
        <f>F286*E294</f>
        <v>18.330000000000002</v>
      </c>
      <c r="G294" s="247"/>
      <c r="H294" s="83"/>
      <c r="I294" s="84"/>
      <c r="J294" s="83"/>
      <c r="K294" s="84"/>
      <c r="L294" s="83"/>
      <c r="M294" s="84"/>
      <c r="N294" s="84"/>
      <c r="O294" s="426"/>
    </row>
    <row r="295" spans="1:15" s="232" customFormat="1" ht="18" customHeight="1">
      <c r="A295" s="230"/>
      <c r="B295" s="427"/>
      <c r="C295" s="469" t="s">
        <v>712</v>
      </c>
      <c r="D295" s="97" t="s">
        <v>105</v>
      </c>
      <c r="E295" s="436">
        <f>80.95/100</f>
        <v>0.8095</v>
      </c>
      <c r="F295" s="247">
        <f>F286*E295</f>
        <v>22.8279</v>
      </c>
      <c r="G295" s="247"/>
      <c r="H295" s="83"/>
      <c r="I295" s="84"/>
      <c r="J295" s="83"/>
      <c r="K295" s="84"/>
      <c r="L295" s="83"/>
      <c r="M295" s="84"/>
      <c r="N295" s="84"/>
      <c r="O295" s="426"/>
    </row>
    <row r="296" spans="1:15" s="232" customFormat="1" ht="18" customHeight="1">
      <c r="A296" s="230"/>
      <c r="B296" s="427"/>
      <c r="C296" s="469" t="s">
        <v>713</v>
      </c>
      <c r="D296" s="97" t="s">
        <v>105</v>
      </c>
      <c r="E296" s="436">
        <f>66.67/100</f>
        <v>0.6667000000000001</v>
      </c>
      <c r="F296" s="247">
        <f>E296*F286</f>
        <v>18.80094</v>
      </c>
      <c r="G296" s="247"/>
      <c r="H296" s="83"/>
      <c r="I296" s="84"/>
      <c r="J296" s="83"/>
      <c r="K296" s="84"/>
      <c r="L296" s="83"/>
      <c r="M296" s="84"/>
      <c r="N296" s="84"/>
      <c r="O296" s="426"/>
    </row>
    <row r="297" spans="1:17" s="422" customFormat="1" ht="36" customHeight="1">
      <c r="A297" s="423"/>
      <c r="B297" s="428" t="s">
        <v>494</v>
      </c>
      <c r="C297" s="469" t="s">
        <v>725</v>
      </c>
      <c r="D297" s="5" t="s">
        <v>86</v>
      </c>
      <c r="E297" s="437">
        <v>1</v>
      </c>
      <c r="F297" s="247">
        <f>E297*F286</f>
        <v>28.2</v>
      </c>
      <c r="G297" s="247"/>
      <c r="H297" s="83"/>
      <c r="I297" s="84"/>
      <c r="J297" s="83"/>
      <c r="K297" s="84"/>
      <c r="L297" s="83"/>
      <c r="M297" s="84"/>
      <c r="N297" s="84"/>
      <c r="O297" s="425"/>
      <c r="P297" s="421"/>
      <c r="Q297" s="421"/>
    </row>
    <row r="298" spans="1:17" s="422" customFormat="1" ht="18" customHeight="1">
      <c r="A298" s="423"/>
      <c r="B298" s="424"/>
      <c r="C298" s="469" t="s">
        <v>715</v>
      </c>
      <c r="D298" s="97" t="s">
        <v>92</v>
      </c>
      <c r="E298" s="438">
        <f>(129+2293)/100*2</f>
        <v>48.44</v>
      </c>
      <c r="F298" s="247">
        <f>E298*F286</f>
        <v>1366.0079999999998</v>
      </c>
      <c r="G298" s="247"/>
      <c r="H298" s="83"/>
      <c r="I298" s="84"/>
      <c r="J298" s="83"/>
      <c r="K298" s="84"/>
      <c r="L298" s="83"/>
      <c r="M298" s="84"/>
      <c r="N298" s="84"/>
      <c r="O298" s="425"/>
      <c r="P298" s="421"/>
      <c r="Q298" s="421"/>
    </row>
    <row r="299" spans="1:16" s="229" customFormat="1" ht="36" customHeight="1">
      <c r="A299" s="222">
        <f>A286+1</f>
        <v>29</v>
      </c>
      <c r="B299" s="223" t="s">
        <v>8</v>
      </c>
      <c r="C299" s="68" t="s">
        <v>724</v>
      </c>
      <c r="D299" s="69" t="s">
        <v>87</v>
      </c>
      <c r="E299" s="113"/>
      <c r="F299" s="239">
        <f>22.4*0.4</f>
        <v>8.959999999999999</v>
      </c>
      <c r="G299" s="239"/>
      <c r="H299" s="83"/>
      <c r="I299" s="84"/>
      <c r="J299" s="106"/>
      <c r="K299" s="84"/>
      <c r="L299" s="83"/>
      <c r="M299" s="84"/>
      <c r="N299" s="84"/>
      <c r="O299" s="429"/>
      <c r="P299" s="228"/>
    </row>
    <row r="300" spans="1:15" s="232" customFormat="1" ht="18" customHeight="1">
      <c r="A300" s="222"/>
      <c r="B300" s="427"/>
      <c r="C300" s="63" t="s">
        <v>61</v>
      </c>
      <c r="D300" s="5" t="s">
        <v>86</v>
      </c>
      <c r="E300" s="87">
        <v>1</v>
      </c>
      <c r="F300" s="43">
        <f>F299*E300</f>
        <v>8.959999999999999</v>
      </c>
      <c r="G300" s="43"/>
      <c r="H300" s="83"/>
      <c r="I300" s="84"/>
      <c r="J300" s="83"/>
      <c r="K300" s="84"/>
      <c r="L300" s="83"/>
      <c r="M300" s="84"/>
      <c r="N300" s="84"/>
      <c r="O300" s="416"/>
    </row>
    <row r="301" spans="1:15" s="431" customFormat="1" ht="18" customHeight="1">
      <c r="A301" s="222"/>
      <c r="B301" s="245" t="s">
        <v>495</v>
      </c>
      <c r="C301" s="128" t="s">
        <v>132</v>
      </c>
      <c r="D301" s="5" t="s">
        <v>86</v>
      </c>
      <c r="E301" s="100">
        <v>1.21</v>
      </c>
      <c r="F301" s="224">
        <f>E301*F299</f>
        <v>10.841599999999998</v>
      </c>
      <c r="G301" s="224"/>
      <c r="H301" s="83"/>
      <c r="I301" s="84"/>
      <c r="J301" s="83"/>
      <c r="K301" s="84"/>
      <c r="L301" s="83"/>
      <c r="M301" s="84"/>
      <c r="N301" s="84"/>
      <c r="O301" s="430"/>
    </row>
    <row r="302" spans="1:15" s="232" customFormat="1" ht="18" customHeight="1">
      <c r="A302" s="222"/>
      <c r="B302" s="223"/>
      <c r="C302" s="63" t="s">
        <v>77</v>
      </c>
      <c r="D302" s="5" t="s">
        <v>15</v>
      </c>
      <c r="E302" s="87">
        <f>7.8/100</f>
        <v>0.078</v>
      </c>
      <c r="F302" s="231">
        <f>F299*E302</f>
        <v>0.69888</v>
      </c>
      <c r="G302" s="231"/>
      <c r="H302" s="83"/>
      <c r="I302" s="84"/>
      <c r="J302" s="83"/>
      <c r="K302" s="84"/>
      <c r="L302" s="83"/>
      <c r="M302" s="84"/>
      <c r="N302" s="84"/>
      <c r="O302" s="416"/>
    </row>
    <row r="303" spans="1:15" s="46" customFormat="1" ht="18" customHeight="1">
      <c r="A303" s="38"/>
      <c r="B303" s="141"/>
      <c r="C303" s="39" t="s">
        <v>91</v>
      </c>
      <c r="D303" s="40"/>
      <c r="E303" s="101"/>
      <c r="F303" s="42"/>
      <c r="G303" s="42"/>
      <c r="H303" s="83"/>
      <c r="I303" s="84"/>
      <c r="J303" s="83"/>
      <c r="K303" s="84"/>
      <c r="L303" s="83"/>
      <c r="M303" s="84"/>
      <c r="N303" s="84"/>
      <c r="O303" s="45"/>
    </row>
    <row r="304" spans="1:15" s="143" customFormat="1" ht="54" customHeight="1">
      <c r="A304" s="5">
        <f>A299+1</f>
        <v>30</v>
      </c>
      <c r="B304" s="123" t="s">
        <v>29</v>
      </c>
      <c r="C304" s="68" t="s">
        <v>693</v>
      </c>
      <c r="D304" s="69" t="s">
        <v>73</v>
      </c>
      <c r="E304" s="101"/>
      <c r="F304" s="148">
        <f>(212.4*4.4-(41*0.4+F423+F436))*0.2</f>
        <v>108.86200000000002</v>
      </c>
      <c r="G304" s="148"/>
      <c r="H304" s="83"/>
      <c r="I304" s="84"/>
      <c r="J304" s="83"/>
      <c r="K304" s="84"/>
      <c r="L304" s="83"/>
      <c r="M304" s="84"/>
      <c r="N304" s="84"/>
      <c r="O304" s="142"/>
    </row>
    <row r="305" spans="1:14" ht="17.25" customHeight="1">
      <c r="A305" s="5"/>
      <c r="B305" s="145"/>
      <c r="C305" s="63" t="s">
        <v>61</v>
      </c>
      <c r="D305" s="5" t="s">
        <v>74</v>
      </c>
      <c r="E305" s="87">
        <v>1</v>
      </c>
      <c r="F305" s="106">
        <f>E305*F304</f>
        <v>108.86200000000002</v>
      </c>
      <c r="G305" s="106"/>
      <c r="H305" s="83"/>
      <c r="I305" s="84"/>
      <c r="J305" s="83"/>
      <c r="K305" s="84"/>
      <c r="L305" s="83"/>
      <c r="M305" s="84"/>
      <c r="N305" s="84"/>
    </row>
    <row r="306" spans="1:15" s="143" customFormat="1" ht="17.25" customHeight="1">
      <c r="A306" s="5"/>
      <c r="B306" s="123"/>
      <c r="C306" s="128" t="s">
        <v>627</v>
      </c>
      <c r="D306" s="5" t="s">
        <v>138</v>
      </c>
      <c r="E306" s="87">
        <v>40</v>
      </c>
      <c r="F306" s="88">
        <f>E306*F304</f>
        <v>4354.480000000001</v>
      </c>
      <c r="G306" s="88"/>
      <c r="H306" s="83"/>
      <c r="I306" s="84"/>
      <c r="J306" s="83"/>
      <c r="K306" s="84"/>
      <c r="L306" s="83"/>
      <c r="M306" s="84"/>
      <c r="N306" s="84"/>
      <c r="O306" s="142"/>
    </row>
    <row r="307" spans="1:15" s="143" customFormat="1" ht="17.25" customHeight="1">
      <c r="A307" s="5"/>
      <c r="B307" s="123"/>
      <c r="C307" s="144" t="s">
        <v>626</v>
      </c>
      <c r="D307" s="5" t="s">
        <v>92</v>
      </c>
      <c r="E307" s="87">
        <v>65</v>
      </c>
      <c r="F307" s="153">
        <f>E307*F304</f>
        <v>7076.030000000002</v>
      </c>
      <c r="G307" s="153"/>
      <c r="H307" s="83"/>
      <c r="I307" s="84"/>
      <c r="J307" s="83"/>
      <c r="K307" s="84"/>
      <c r="L307" s="83"/>
      <c r="M307" s="84"/>
      <c r="N307" s="84"/>
      <c r="O307" s="142"/>
    </row>
    <row r="308" spans="1:15" s="67" customFormat="1" ht="17.25" customHeight="1">
      <c r="A308" s="4"/>
      <c r="B308" s="127"/>
      <c r="C308" s="128" t="s">
        <v>182</v>
      </c>
      <c r="D308" s="5" t="s">
        <v>81</v>
      </c>
      <c r="E308" s="101">
        <v>1.03</v>
      </c>
      <c r="F308" s="108">
        <f>F304*2*2*0.49/1000*E308</f>
        <v>0.21977060560000006</v>
      </c>
      <c r="G308" s="108"/>
      <c r="H308" s="83"/>
      <c r="I308" s="84"/>
      <c r="J308" s="83"/>
      <c r="K308" s="84"/>
      <c r="L308" s="83"/>
      <c r="M308" s="84"/>
      <c r="N308" s="84"/>
      <c r="O308" s="124"/>
    </row>
    <row r="309" spans="1:15" s="67" customFormat="1" ht="17.25" customHeight="1">
      <c r="A309" s="4"/>
      <c r="B309" s="123"/>
      <c r="C309" s="63" t="s">
        <v>77</v>
      </c>
      <c r="D309" s="5" t="s">
        <v>15</v>
      </c>
      <c r="E309" s="101">
        <f>0.16</f>
        <v>0.16</v>
      </c>
      <c r="F309" s="88">
        <f>F304*E309</f>
        <v>17.417920000000006</v>
      </c>
      <c r="G309" s="88"/>
      <c r="H309" s="83"/>
      <c r="I309" s="84"/>
      <c r="J309" s="83"/>
      <c r="K309" s="84"/>
      <c r="L309" s="83"/>
      <c r="M309" s="84"/>
      <c r="N309" s="84"/>
      <c r="O309" s="124"/>
    </row>
    <row r="310" spans="1:15" s="143" customFormat="1" ht="54" customHeight="1">
      <c r="A310" s="5">
        <f>A304+1</f>
        <v>31</v>
      </c>
      <c r="B310" s="123" t="s">
        <v>29</v>
      </c>
      <c r="C310" s="68" t="s">
        <v>726</v>
      </c>
      <c r="D310" s="69" t="s">
        <v>73</v>
      </c>
      <c r="E310" s="101"/>
      <c r="F310" s="148">
        <f>((5.3+5.95+5.35+9.25+4+1.35+2.65+5.4+8.6*3+7.7+7.9+11.5+1.4+6.8+3.1+6.4+17.6+6.4*4+10.1+6.8+38.4+17.2+3+2.65+3.05+2.65+1.8+2.1+2.65+4.7+2.65+6.1+10.6+3.85+14.6+4.6)*3.6-(F439))*0.2</f>
        <v>182.5390000000001</v>
      </c>
      <c r="G310" s="148"/>
      <c r="H310" s="83"/>
      <c r="I310" s="84"/>
      <c r="J310" s="83"/>
      <c r="K310" s="84"/>
      <c r="L310" s="83"/>
      <c r="M310" s="84"/>
      <c r="N310" s="84"/>
      <c r="O310" s="142"/>
    </row>
    <row r="311" spans="1:14" ht="17.25" customHeight="1">
      <c r="A311" s="5"/>
      <c r="B311" s="145"/>
      <c r="C311" s="63" t="s">
        <v>61</v>
      </c>
      <c r="D311" s="5" t="s">
        <v>74</v>
      </c>
      <c r="E311" s="87">
        <v>1</v>
      </c>
      <c r="F311" s="106">
        <f>E311*F310</f>
        <v>182.5390000000001</v>
      </c>
      <c r="G311" s="106"/>
      <c r="H311" s="83"/>
      <c r="I311" s="84"/>
      <c r="J311" s="83"/>
      <c r="K311" s="84"/>
      <c r="L311" s="83"/>
      <c r="M311" s="84"/>
      <c r="N311" s="84"/>
    </row>
    <row r="312" spans="1:15" s="143" customFormat="1" ht="17.25" customHeight="1">
      <c r="A312" s="5"/>
      <c r="B312" s="123"/>
      <c r="C312" s="128" t="s">
        <v>93</v>
      </c>
      <c r="D312" s="5" t="s">
        <v>74</v>
      </c>
      <c r="E312" s="101">
        <v>0.11</v>
      </c>
      <c r="F312" s="106">
        <f>E312*F310</f>
        <v>20.07929000000001</v>
      </c>
      <c r="G312" s="106"/>
      <c r="H312" s="83"/>
      <c r="I312" s="84"/>
      <c r="J312" s="83"/>
      <c r="K312" s="84"/>
      <c r="L312" s="83"/>
      <c r="M312" s="84"/>
      <c r="N312" s="84"/>
      <c r="O312" s="142"/>
    </row>
    <row r="313" spans="1:15" s="143" customFormat="1" ht="17.25" customHeight="1">
      <c r="A313" s="5"/>
      <c r="B313" s="123"/>
      <c r="C313" s="128" t="s">
        <v>94</v>
      </c>
      <c r="D313" s="5" t="s">
        <v>74</v>
      </c>
      <c r="E313" s="87">
        <v>1.16</v>
      </c>
      <c r="F313" s="88">
        <f>F312*E313</f>
        <v>23.29197640000001</v>
      </c>
      <c r="G313" s="88"/>
      <c r="H313" s="83"/>
      <c r="I313" s="84"/>
      <c r="J313" s="83"/>
      <c r="K313" s="84"/>
      <c r="L313" s="83"/>
      <c r="M313" s="84"/>
      <c r="N313" s="84"/>
      <c r="O313" s="142"/>
    </row>
    <row r="314" spans="1:15" s="143" customFormat="1" ht="17.25" customHeight="1">
      <c r="A314" s="5"/>
      <c r="B314" s="123"/>
      <c r="C314" s="128" t="s">
        <v>95</v>
      </c>
      <c r="D314" s="5" t="s">
        <v>81</v>
      </c>
      <c r="E314" s="101">
        <v>0.416</v>
      </c>
      <c r="F314" s="88">
        <f>E314*F312</f>
        <v>8.352984640000004</v>
      </c>
      <c r="G314" s="88"/>
      <c r="H314" s="83"/>
      <c r="I314" s="84"/>
      <c r="J314" s="83"/>
      <c r="K314" s="84"/>
      <c r="L314" s="83"/>
      <c r="M314" s="84"/>
      <c r="N314" s="84"/>
      <c r="O314" s="142"/>
    </row>
    <row r="315" spans="1:15" s="143" customFormat="1" ht="17.25" customHeight="1">
      <c r="A315" s="5"/>
      <c r="B315" s="123"/>
      <c r="C315" s="144" t="s">
        <v>96</v>
      </c>
      <c r="D315" s="5" t="s">
        <v>92</v>
      </c>
      <c r="E315" s="87">
        <v>65</v>
      </c>
      <c r="F315" s="153">
        <f>E315*F310</f>
        <v>11865.035000000007</v>
      </c>
      <c r="G315" s="153"/>
      <c r="H315" s="83"/>
      <c r="I315" s="84"/>
      <c r="J315" s="83"/>
      <c r="K315" s="84"/>
      <c r="L315" s="83"/>
      <c r="M315" s="84"/>
      <c r="N315" s="84"/>
      <c r="O315" s="142"/>
    </row>
    <row r="316" spans="1:15" s="67" customFormat="1" ht="17.25" customHeight="1">
      <c r="A316" s="4"/>
      <c r="B316" s="127"/>
      <c r="C316" s="128" t="s">
        <v>182</v>
      </c>
      <c r="D316" s="5" t="s">
        <v>81</v>
      </c>
      <c r="E316" s="101">
        <v>1.03</v>
      </c>
      <c r="F316" s="108">
        <f>F310*2*2*0.49/1000*E316</f>
        <v>0.3685097332000002</v>
      </c>
      <c r="G316" s="108"/>
      <c r="H316" s="83"/>
      <c r="I316" s="84"/>
      <c r="J316" s="83"/>
      <c r="K316" s="84"/>
      <c r="L316" s="83"/>
      <c r="M316" s="84"/>
      <c r="N316" s="84"/>
      <c r="O316" s="124"/>
    </row>
    <row r="317" spans="1:15" s="67" customFormat="1" ht="17.25" customHeight="1">
      <c r="A317" s="4"/>
      <c r="B317" s="123"/>
      <c r="C317" s="63" t="s">
        <v>77</v>
      </c>
      <c r="D317" s="5" t="s">
        <v>15</v>
      </c>
      <c r="E317" s="101">
        <f>0.16</f>
        <v>0.16</v>
      </c>
      <c r="F317" s="88">
        <f>F310*E317</f>
        <v>29.206240000000015</v>
      </c>
      <c r="G317" s="88"/>
      <c r="H317" s="83"/>
      <c r="I317" s="84"/>
      <c r="J317" s="83"/>
      <c r="K317" s="84"/>
      <c r="L317" s="83"/>
      <c r="M317" s="84"/>
      <c r="N317" s="84"/>
      <c r="O317" s="124"/>
    </row>
    <row r="318" spans="1:15" s="143" customFormat="1" ht="54" customHeight="1">
      <c r="A318" s="5">
        <f>A310+1</f>
        <v>32</v>
      </c>
      <c r="B318" s="123" t="s">
        <v>29</v>
      </c>
      <c r="C318" s="68" t="s">
        <v>694</v>
      </c>
      <c r="D318" s="69" t="s">
        <v>73</v>
      </c>
      <c r="E318" s="101"/>
      <c r="F318" s="148">
        <f>(((3.75+3.5+2.45+1.85)*3+(3.7+3.5+2.5+1.85)*3)*3.6-18*0.8*2.2)*0.15</f>
        <v>32.669999999999995</v>
      </c>
      <c r="G318" s="148"/>
      <c r="H318" s="83"/>
      <c r="I318" s="84"/>
      <c r="J318" s="83"/>
      <c r="K318" s="84"/>
      <c r="L318" s="83"/>
      <c r="M318" s="84"/>
      <c r="N318" s="84"/>
      <c r="O318" s="142"/>
    </row>
    <row r="319" spans="1:14" ht="17.25" customHeight="1">
      <c r="A319" s="5"/>
      <c r="B319" s="145"/>
      <c r="C319" s="63" t="s">
        <v>61</v>
      </c>
      <c r="D319" s="5" t="s">
        <v>74</v>
      </c>
      <c r="E319" s="87">
        <v>1</v>
      </c>
      <c r="F319" s="106">
        <f>E319*F318</f>
        <v>32.669999999999995</v>
      </c>
      <c r="G319" s="106"/>
      <c r="H319" s="83"/>
      <c r="I319" s="84"/>
      <c r="J319" s="83"/>
      <c r="K319" s="84"/>
      <c r="L319" s="83"/>
      <c r="M319" s="84"/>
      <c r="N319" s="84"/>
    </row>
    <row r="320" spans="1:15" s="143" customFormat="1" ht="17.25" customHeight="1">
      <c r="A320" s="5"/>
      <c r="B320" s="123"/>
      <c r="C320" s="128" t="s">
        <v>93</v>
      </c>
      <c r="D320" s="5" t="s">
        <v>74</v>
      </c>
      <c r="E320" s="101">
        <v>0.11</v>
      </c>
      <c r="F320" s="106">
        <f>E320*F318</f>
        <v>3.5936999999999992</v>
      </c>
      <c r="G320" s="106"/>
      <c r="H320" s="83"/>
      <c r="I320" s="84"/>
      <c r="J320" s="83"/>
      <c r="K320" s="84"/>
      <c r="L320" s="83"/>
      <c r="M320" s="84"/>
      <c r="N320" s="84"/>
      <c r="O320" s="142"/>
    </row>
    <row r="321" spans="1:15" s="143" customFormat="1" ht="17.25" customHeight="1">
      <c r="A321" s="5"/>
      <c r="B321" s="123"/>
      <c r="C321" s="128" t="s">
        <v>94</v>
      </c>
      <c r="D321" s="5" t="s">
        <v>74</v>
      </c>
      <c r="E321" s="87">
        <v>1.16</v>
      </c>
      <c r="F321" s="88">
        <f>F320*E321</f>
        <v>4.168691999999999</v>
      </c>
      <c r="G321" s="88"/>
      <c r="H321" s="83"/>
      <c r="I321" s="84"/>
      <c r="J321" s="83"/>
      <c r="K321" s="84"/>
      <c r="L321" s="83"/>
      <c r="M321" s="84"/>
      <c r="N321" s="84"/>
      <c r="O321" s="142"/>
    </row>
    <row r="322" spans="1:15" s="143" customFormat="1" ht="17.25" customHeight="1">
      <c r="A322" s="5"/>
      <c r="B322" s="123"/>
      <c r="C322" s="128" t="s">
        <v>95</v>
      </c>
      <c r="D322" s="5" t="s">
        <v>81</v>
      </c>
      <c r="E322" s="101">
        <v>0.416</v>
      </c>
      <c r="F322" s="88">
        <f>E322*F320</f>
        <v>1.4949791999999995</v>
      </c>
      <c r="G322" s="88"/>
      <c r="H322" s="83"/>
      <c r="I322" s="84"/>
      <c r="J322" s="83"/>
      <c r="K322" s="84"/>
      <c r="L322" s="83"/>
      <c r="M322" s="84"/>
      <c r="N322" s="84"/>
      <c r="O322" s="142"/>
    </row>
    <row r="323" spans="1:15" s="143" customFormat="1" ht="17.25" customHeight="1">
      <c r="A323" s="5"/>
      <c r="B323" s="123"/>
      <c r="C323" s="144" t="s">
        <v>96</v>
      </c>
      <c r="D323" s="5" t="s">
        <v>92</v>
      </c>
      <c r="E323" s="87">
        <v>84</v>
      </c>
      <c r="F323" s="153">
        <f>E323*F318</f>
        <v>2744.2799999999997</v>
      </c>
      <c r="G323" s="153"/>
      <c r="H323" s="83"/>
      <c r="I323" s="84"/>
      <c r="J323" s="83"/>
      <c r="K323" s="84"/>
      <c r="L323" s="83"/>
      <c r="M323" s="84"/>
      <c r="N323" s="84"/>
      <c r="O323" s="142"/>
    </row>
    <row r="324" spans="1:15" s="67" customFormat="1" ht="17.25" customHeight="1">
      <c r="A324" s="4"/>
      <c r="B324" s="127"/>
      <c r="C324" s="128" t="s">
        <v>182</v>
      </c>
      <c r="D324" s="5" t="s">
        <v>81</v>
      </c>
      <c r="E324" s="101">
        <v>1.03</v>
      </c>
      <c r="F324" s="108">
        <f>F318*2*2*0.49/1000*E324</f>
        <v>0.065954196</v>
      </c>
      <c r="G324" s="108"/>
      <c r="H324" s="83"/>
      <c r="I324" s="84"/>
      <c r="J324" s="83"/>
      <c r="K324" s="84"/>
      <c r="L324" s="83"/>
      <c r="M324" s="84"/>
      <c r="N324" s="84"/>
      <c r="O324" s="124"/>
    </row>
    <row r="325" spans="1:15" s="67" customFormat="1" ht="17.25" customHeight="1">
      <c r="A325" s="4"/>
      <c r="B325" s="123"/>
      <c r="C325" s="63" t="s">
        <v>77</v>
      </c>
      <c r="D325" s="5" t="s">
        <v>15</v>
      </c>
      <c r="E325" s="101">
        <f>0.16</f>
        <v>0.16</v>
      </c>
      <c r="F325" s="88">
        <f>F318*E325</f>
        <v>5.227199999999999</v>
      </c>
      <c r="G325" s="88"/>
      <c r="H325" s="83"/>
      <c r="I325" s="84"/>
      <c r="J325" s="83"/>
      <c r="K325" s="84"/>
      <c r="L325" s="83"/>
      <c r="M325" s="84"/>
      <c r="N325" s="84"/>
      <c r="O325" s="124"/>
    </row>
    <row r="326" spans="1:15" s="143" customFormat="1" ht="54" customHeight="1">
      <c r="A326" s="5">
        <f>A318+1</f>
        <v>33</v>
      </c>
      <c r="B326" s="123" t="s">
        <v>29</v>
      </c>
      <c r="C326" s="68" t="s">
        <v>727</v>
      </c>
      <c r="D326" s="69" t="s">
        <v>73</v>
      </c>
      <c r="E326" s="101"/>
      <c r="F326" s="148">
        <f>((22.4-1.6+5.1)*3.6-2.2*1*2)*0.2</f>
        <v>17.767999999999997</v>
      </c>
      <c r="G326" s="148"/>
      <c r="H326" s="83"/>
      <c r="I326" s="84"/>
      <c r="J326" s="83"/>
      <c r="K326" s="84"/>
      <c r="L326" s="83"/>
      <c r="M326" s="84"/>
      <c r="N326" s="84"/>
      <c r="O326" s="142"/>
    </row>
    <row r="327" spans="1:14" ht="17.25" customHeight="1">
      <c r="A327" s="5"/>
      <c r="B327" s="145"/>
      <c r="C327" s="63" t="s">
        <v>61</v>
      </c>
      <c r="D327" s="5" t="s">
        <v>74</v>
      </c>
      <c r="E327" s="87">
        <v>1</v>
      </c>
      <c r="F327" s="106">
        <f>E327*F326</f>
        <v>17.767999999999997</v>
      </c>
      <c r="G327" s="106"/>
      <c r="H327" s="83"/>
      <c r="I327" s="84"/>
      <c r="J327" s="83"/>
      <c r="K327" s="84"/>
      <c r="L327" s="83"/>
      <c r="M327" s="84"/>
      <c r="N327" s="84"/>
    </row>
    <row r="328" spans="1:15" s="143" customFormat="1" ht="17.25" customHeight="1">
      <c r="A328" s="5"/>
      <c r="B328" s="123"/>
      <c r="C328" s="128" t="s">
        <v>627</v>
      </c>
      <c r="D328" s="5" t="s">
        <v>138</v>
      </c>
      <c r="E328" s="87">
        <v>40</v>
      </c>
      <c r="F328" s="88">
        <f>E328*F326</f>
        <v>710.7199999999999</v>
      </c>
      <c r="G328" s="88"/>
      <c r="H328" s="83"/>
      <c r="I328" s="84"/>
      <c r="J328" s="83"/>
      <c r="K328" s="84"/>
      <c r="L328" s="83"/>
      <c r="M328" s="84"/>
      <c r="N328" s="84"/>
      <c r="O328" s="142"/>
    </row>
    <row r="329" spans="1:15" s="143" customFormat="1" ht="17.25" customHeight="1">
      <c r="A329" s="5"/>
      <c r="B329" s="123"/>
      <c r="C329" s="144" t="s">
        <v>626</v>
      </c>
      <c r="D329" s="5" t="s">
        <v>92</v>
      </c>
      <c r="E329" s="87">
        <v>65</v>
      </c>
      <c r="F329" s="153">
        <f>E329*F326</f>
        <v>1154.9199999999998</v>
      </c>
      <c r="G329" s="153"/>
      <c r="H329" s="83"/>
      <c r="I329" s="84"/>
      <c r="J329" s="83"/>
      <c r="K329" s="84"/>
      <c r="L329" s="83"/>
      <c r="M329" s="84"/>
      <c r="N329" s="84"/>
      <c r="O329" s="142"/>
    </row>
    <row r="330" spans="1:15" s="67" customFormat="1" ht="17.25" customHeight="1">
      <c r="A330" s="4"/>
      <c r="B330" s="127"/>
      <c r="C330" s="128" t="s">
        <v>182</v>
      </c>
      <c r="D330" s="5" t="s">
        <v>81</v>
      </c>
      <c r="E330" s="101">
        <v>1.03</v>
      </c>
      <c r="F330" s="108">
        <f>F326*2*2*0.49/1000*E330</f>
        <v>0.03587003839999999</v>
      </c>
      <c r="G330" s="108"/>
      <c r="H330" s="83"/>
      <c r="I330" s="84"/>
      <c r="J330" s="83"/>
      <c r="K330" s="84"/>
      <c r="L330" s="83"/>
      <c r="M330" s="84"/>
      <c r="N330" s="84"/>
      <c r="O330" s="124"/>
    </row>
    <row r="331" spans="1:15" s="67" customFormat="1" ht="17.25" customHeight="1">
      <c r="A331" s="4"/>
      <c r="B331" s="123"/>
      <c r="C331" s="63" t="s">
        <v>77</v>
      </c>
      <c r="D331" s="5" t="s">
        <v>15</v>
      </c>
      <c r="E331" s="101">
        <f>0.16</f>
        <v>0.16</v>
      </c>
      <c r="F331" s="88">
        <f>F326*E331</f>
        <v>2.8428799999999996</v>
      </c>
      <c r="G331" s="88"/>
      <c r="H331" s="83"/>
      <c r="I331" s="84"/>
      <c r="J331" s="83"/>
      <c r="K331" s="84"/>
      <c r="L331" s="83"/>
      <c r="M331" s="84"/>
      <c r="N331" s="84"/>
      <c r="O331" s="124"/>
    </row>
    <row r="332" spans="1:17" s="143" customFormat="1" ht="18" customHeight="1">
      <c r="A332" s="4"/>
      <c r="B332" s="145"/>
      <c r="C332" s="146" t="s">
        <v>97</v>
      </c>
      <c r="D332" s="110"/>
      <c r="E332" s="101"/>
      <c r="F332" s="147"/>
      <c r="G332" s="147"/>
      <c r="H332" s="148"/>
      <c r="I332" s="70"/>
      <c r="J332" s="149"/>
      <c r="K332" s="70"/>
      <c r="L332" s="149"/>
      <c r="M332" s="70"/>
      <c r="N332" s="70"/>
      <c r="O332" s="150"/>
      <c r="P332" s="151"/>
      <c r="Q332" s="152"/>
    </row>
    <row r="333" spans="1:16" s="46" customFormat="1" ht="18" customHeight="1">
      <c r="A333" s="38" t="s">
        <v>6</v>
      </c>
      <c r="B333" s="141"/>
      <c r="C333" s="39" t="s">
        <v>98</v>
      </c>
      <c r="D333" s="40"/>
      <c r="E333" s="101"/>
      <c r="F333" s="42"/>
      <c r="G333" s="42"/>
      <c r="H333" s="83"/>
      <c r="I333" s="84"/>
      <c r="J333" s="83"/>
      <c r="K333" s="84"/>
      <c r="L333" s="83"/>
      <c r="M333" s="84"/>
      <c r="N333" s="83"/>
      <c r="O333" s="45"/>
      <c r="P333" s="189"/>
    </row>
    <row r="334" spans="1:16" s="46" customFormat="1" ht="18" customHeight="1">
      <c r="A334" s="190"/>
      <c r="B334" s="191"/>
      <c r="C334" s="156" t="s">
        <v>104</v>
      </c>
      <c r="D334" s="112"/>
      <c r="E334" s="101"/>
      <c r="F334" s="42"/>
      <c r="G334" s="42"/>
      <c r="H334" s="42"/>
      <c r="I334" s="83"/>
      <c r="J334" s="84"/>
      <c r="K334" s="83"/>
      <c r="L334" s="84"/>
      <c r="M334" s="83"/>
      <c r="N334" s="83"/>
      <c r="O334" s="192"/>
      <c r="P334" s="189"/>
    </row>
    <row r="335" spans="1:15" s="61" customFormat="1" ht="36" customHeight="1">
      <c r="A335" s="5">
        <f>A326+1</f>
        <v>34</v>
      </c>
      <c r="B335" s="94" t="s">
        <v>30</v>
      </c>
      <c r="C335" s="68" t="s">
        <v>156</v>
      </c>
      <c r="D335" s="69" t="s">
        <v>87</v>
      </c>
      <c r="E335" s="101"/>
      <c r="F335" s="148">
        <f>F341+F352+F358</f>
        <v>1093.0400000000002</v>
      </c>
      <c r="G335" s="148"/>
      <c r="H335" s="83"/>
      <c r="I335" s="84"/>
      <c r="J335" s="83"/>
      <c r="K335" s="84"/>
      <c r="L335" s="83"/>
      <c r="M335" s="84"/>
      <c r="N335" s="84"/>
      <c r="O335" s="122"/>
    </row>
    <row r="336" spans="1:15" s="67" customFormat="1" ht="18" customHeight="1">
      <c r="A336" s="4"/>
      <c r="B336" s="145"/>
      <c r="C336" s="63" t="s">
        <v>61</v>
      </c>
      <c r="D336" s="5" t="s">
        <v>86</v>
      </c>
      <c r="E336" s="87">
        <v>1</v>
      </c>
      <c r="F336" s="88">
        <f>F335*E336</f>
        <v>1093.0400000000002</v>
      </c>
      <c r="G336" s="88"/>
      <c r="H336" s="83"/>
      <c r="I336" s="84"/>
      <c r="J336" s="83"/>
      <c r="K336" s="84"/>
      <c r="L336" s="83"/>
      <c r="M336" s="84"/>
      <c r="N336" s="84"/>
      <c r="O336" s="124"/>
    </row>
    <row r="337" spans="1:15" s="67" customFormat="1" ht="18" customHeight="1">
      <c r="A337" s="4"/>
      <c r="B337" s="123"/>
      <c r="C337" s="128" t="s">
        <v>139</v>
      </c>
      <c r="D337" s="5" t="s">
        <v>74</v>
      </c>
      <c r="E337" s="101">
        <f>(2.04+0.51*4)/100</f>
        <v>0.0408</v>
      </c>
      <c r="F337" s="88">
        <f>F335*E337</f>
        <v>44.59603200000001</v>
      </c>
      <c r="G337" s="88"/>
      <c r="H337" s="83"/>
      <c r="I337" s="84"/>
      <c r="J337" s="83"/>
      <c r="K337" s="84"/>
      <c r="L337" s="83"/>
      <c r="M337" s="84"/>
      <c r="N337" s="84"/>
      <c r="O337" s="124"/>
    </row>
    <row r="338" spans="1:15" s="143" customFormat="1" ht="18" customHeight="1">
      <c r="A338" s="5"/>
      <c r="B338" s="123"/>
      <c r="C338" s="128" t="s">
        <v>111</v>
      </c>
      <c r="D338" s="5" t="s">
        <v>74</v>
      </c>
      <c r="E338" s="87">
        <v>1.15</v>
      </c>
      <c r="F338" s="88">
        <f>F337*E338</f>
        <v>51.28543680000001</v>
      </c>
      <c r="G338" s="88"/>
      <c r="H338" s="83"/>
      <c r="I338" s="84"/>
      <c r="J338" s="83"/>
      <c r="K338" s="84"/>
      <c r="L338" s="83"/>
      <c r="M338" s="84"/>
      <c r="N338" s="84"/>
      <c r="O338" s="142"/>
    </row>
    <row r="339" spans="1:15" s="143" customFormat="1" ht="18" customHeight="1">
      <c r="A339" s="5"/>
      <c r="B339" s="123"/>
      <c r="C339" s="128" t="s">
        <v>95</v>
      </c>
      <c r="D339" s="5" t="s">
        <v>81</v>
      </c>
      <c r="E339" s="101">
        <v>0.304</v>
      </c>
      <c r="F339" s="88">
        <f>E339*F337</f>
        <v>13.557193728000001</v>
      </c>
      <c r="G339" s="88"/>
      <c r="H339" s="83"/>
      <c r="I339" s="84"/>
      <c r="J339" s="83"/>
      <c r="K339" s="84"/>
      <c r="L339" s="83"/>
      <c r="M339" s="84"/>
      <c r="N339" s="84"/>
      <c r="O339" s="142"/>
    </row>
    <row r="340" spans="1:15" s="67" customFormat="1" ht="18" customHeight="1">
      <c r="A340" s="4"/>
      <c r="B340" s="123"/>
      <c r="C340" s="63" t="s">
        <v>77</v>
      </c>
      <c r="D340" s="5" t="s">
        <v>15</v>
      </c>
      <c r="E340" s="101">
        <v>0.0636</v>
      </c>
      <c r="F340" s="88">
        <f>F335*E340</f>
        <v>69.51734400000002</v>
      </c>
      <c r="G340" s="88"/>
      <c r="H340" s="83"/>
      <c r="I340" s="84"/>
      <c r="J340" s="83"/>
      <c r="K340" s="84"/>
      <c r="L340" s="83"/>
      <c r="M340" s="84"/>
      <c r="N340" s="84"/>
      <c r="O340" s="124"/>
    </row>
    <row r="341" spans="1:15" s="67" customFormat="1" ht="39" customHeight="1">
      <c r="A341" s="5">
        <f>A335+1</f>
        <v>35</v>
      </c>
      <c r="B341" s="94" t="s">
        <v>40</v>
      </c>
      <c r="C341" s="68" t="s">
        <v>667</v>
      </c>
      <c r="D341" s="69" t="s">
        <v>87</v>
      </c>
      <c r="E341" s="101"/>
      <c r="F341" s="148">
        <f>55.5+290.5</f>
        <v>346</v>
      </c>
      <c r="G341" s="148"/>
      <c r="H341" s="83"/>
      <c r="I341" s="84"/>
      <c r="J341" s="83"/>
      <c r="K341" s="84"/>
      <c r="L341" s="83"/>
      <c r="M341" s="84"/>
      <c r="N341" s="84"/>
      <c r="O341" s="122"/>
    </row>
    <row r="342" spans="1:15" s="67" customFormat="1" ht="18" customHeight="1">
      <c r="A342" s="4"/>
      <c r="B342" s="145"/>
      <c r="C342" s="63" t="s">
        <v>61</v>
      </c>
      <c r="D342" s="5" t="s">
        <v>86</v>
      </c>
      <c r="E342" s="87">
        <v>1</v>
      </c>
      <c r="F342" s="88">
        <f>F341*E342</f>
        <v>346</v>
      </c>
      <c r="G342" s="88"/>
      <c r="H342" s="83"/>
      <c r="I342" s="84"/>
      <c r="J342" s="83"/>
      <c r="K342" s="84"/>
      <c r="L342" s="83"/>
      <c r="M342" s="84"/>
      <c r="N342" s="84"/>
      <c r="O342" s="124"/>
    </row>
    <row r="343" spans="1:15" s="67" customFormat="1" ht="18" customHeight="1">
      <c r="A343" s="4"/>
      <c r="B343" s="123"/>
      <c r="C343" s="128" t="s">
        <v>119</v>
      </c>
      <c r="D343" s="4" t="s">
        <v>138</v>
      </c>
      <c r="E343" s="87">
        <v>7</v>
      </c>
      <c r="F343" s="88">
        <f>F341*E343</f>
        <v>2422</v>
      </c>
      <c r="G343" s="88"/>
      <c r="H343" s="83"/>
      <c r="I343" s="84"/>
      <c r="J343" s="83"/>
      <c r="K343" s="84"/>
      <c r="L343" s="83"/>
      <c r="M343" s="84"/>
      <c r="N343" s="84"/>
      <c r="O343" s="124"/>
    </row>
    <row r="344" spans="1:15" s="67" customFormat="1" ht="18" customHeight="1">
      <c r="A344" s="4"/>
      <c r="B344" s="145"/>
      <c r="C344" s="128" t="s">
        <v>125</v>
      </c>
      <c r="D344" s="5" t="s">
        <v>86</v>
      </c>
      <c r="E344" s="87">
        <v>1.05</v>
      </c>
      <c r="F344" s="88">
        <f>E344*F341</f>
        <v>363.3</v>
      </c>
      <c r="G344" s="88"/>
      <c r="H344" s="83"/>
      <c r="I344" s="84"/>
      <c r="J344" s="83"/>
      <c r="K344" s="84"/>
      <c r="L344" s="83"/>
      <c r="M344" s="84"/>
      <c r="N344" s="84"/>
      <c r="O344" s="124"/>
    </row>
    <row r="345" spans="1:15" s="67" customFormat="1" ht="18" customHeight="1">
      <c r="A345" s="4"/>
      <c r="B345" s="145"/>
      <c r="C345" s="128" t="s">
        <v>118</v>
      </c>
      <c r="D345" s="4" t="s">
        <v>138</v>
      </c>
      <c r="E345" s="87">
        <v>0.09</v>
      </c>
      <c r="F345" s="88">
        <f>E345*F341</f>
        <v>31.14</v>
      </c>
      <c r="G345" s="88"/>
      <c r="H345" s="83"/>
      <c r="I345" s="84"/>
      <c r="J345" s="83"/>
      <c r="K345" s="84"/>
      <c r="L345" s="83"/>
      <c r="M345" s="84"/>
      <c r="N345" s="84"/>
      <c r="O345" s="124"/>
    </row>
    <row r="346" spans="1:15" s="67" customFormat="1" ht="18" customHeight="1">
      <c r="A346" s="4"/>
      <c r="B346" s="123"/>
      <c r="C346" s="63" t="s">
        <v>77</v>
      </c>
      <c r="D346" s="5" t="s">
        <v>15</v>
      </c>
      <c r="E346" s="87">
        <v>0.5</v>
      </c>
      <c r="F346" s="88">
        <f>F341*E346</f>
        <v>173</v>
      </c>
      <c r="G346" s="88"/>
      <c r="H346" s="83"/>
      <c r="I346" s="84"/>
      <c r="J346" s="83"/>
      <c r="K346" s="84"/>
      <c r="L346" s="83"/>
      <c r="M346" s="84"/>
      <c r="N346" s="84"/>
      <c r="O346" s="124"/>
    </row>
    <row r="347" spans="1:15" s="67" customFormat="1" ht="36" customHeight="1">
      <c r="A347" s="5">
        <f>A341+1</f>
        <v>36</v>
      </c>
      <c r="B347" s="94" t="s">
        <v>31</v>
      </c>
      <c r="C347" s="68" t="s">
        <v>668</v>
      </c>
      <c r="D347" s="69" t="s">
        <v>105</v>
      </c>
      <c r="E347" s="101"/>
      <c r="F347" s="148">
        <f>(56.3+202.6)</f>
        <v>258.9</v>
      </c>
      <c r="G347" s="148"/>
      <c r="H347" s="83"/>
      <c r="I347" s="84"/>
      <c r="J347" s="83"/>
      <c r="K347" s="84"/>
      <c r="L347" s="83"/>
      <c r="M347" s="84"/>
      <c r="N347" s="84"/>
      <c r="O347" s="90"/>
    </row>
    <row r="348" spans="1:15" s="67" customFormat="1" ht="18" customHeight="1">
      <c r="A348" s="4"/>
      <c r="B348" s="145"/>
      <c r="C348" s="63" t="s">
        <v>61</v>
      </c>
      <c r="D348" s="97" t="str">
        <f>D347</f>
        <v>გრძ.მ.</v>
      </c>
      <c r="E348" s="87">
        <v>1</v>
      </c>
      <c r="F348" s="88">
        <f>F347*E348</f>
        <v>258.9</v>
      </c>
      <c r="G348" s="88"/>
      <c r="H348" s="83"/>
      <c r="I348" s="84"/>
      <c r="J348" s="83"/>
      <c r="K348" s="84"/>
      <c r="L348" s="83"/>
      <c r="M348" s="84"/>
      <c r="N348" s="84"/>
      <c r="O348" s="124"/>
    </row>
    <row r="349" spans="1:15" s="67" customFormat="1" ht="18" customHeight="1">
      <c r="A349" s="4"/>
      <c r="B349" s="123"/>
      <c r="C349" s="128" t="s">
        <v>119</v>
      </c>
      <c r="D349" s="4" t="s">
        <v>138</v>
      </c>
      <c r="E349" s="87">
        <v>1.2</v>
      </c>
      <c r="F349" s="88">
        <f>E349*F350</f>
        <v>48.77675999999999</v>
      </c>
      <c r="G349" s="88"/>
      <c r="H349" s="83"/>
      <c r="I349" s="84"/>
      <c r="J349" s="83"/>
      <c r="K349" s="84"/>
      <c r="L349" s="83"/>
      <c r="M349" s="84"/>
      <c r="N349" s="84"/>
      <c r="O349" s="124"/>
    </row>
    <row r="350" spans="1:15" s="67" customFormat="1" ht="18" customHeight="1">
      <c r="A350" s="4"/>
      <c r="B350" s="145"/>
      <c r="C350" s="128" t="s">
        <v>120</v>
      </c>
      <c r="D350" s="5" t="s">
        <v>86</v>
      </c>
      <c r="E350" s="101">
        <v>0.157</v>
      </c>
      <c r="F350" s="88">
        <f>E350*F347</f>
        <v>40.647299999999994</v>
      </c>
      <c r="G350" s="88"/>
      <c r="H350" s="83"/>
      <c r="I350" s="84"/>
      <c r="J350" s="83"/>
      <c r="K350" s="84"/>
      <c r="L350" s="83"/>
      <c r="M350" s="84"/>
      <c r="N350" s="84"/>
      <c r="O350" s="124"/>
    </row>
    <row r="351" spans="1:15" s="67" customFormat="1" ht="18" customHeight="1">
      <c r="A351" s="4"/>
      <c r="B351" s="145"/>
      <c r="C351" s="128" t="s">
        <v>118</v>
      </c>
      <c r="D351" s="4" t="s">
        <v>138</v>
      </c>
      <c r="E351" s="101">
        <v>0.0135</v>
      </c>
      <c r="F351" s="88">
        <f>E351*F350</f>
        <v>0.5487385499999999</v>
      </c>
      <c r="G351" s="88"/>
      <c r="H351" s="83"/>
      <c r="I351" s="84"/>
      <c r="J351" s="83"/>
      <c r="K351" s="84"/>
      <c r="L351" s="83"/>
      <c r="M351" s="84"/>
      <c r="N351" s="84"/>
      <c r="O351" s="124"/>
    </row>
    <row r="352" spans="1:15" s="67" customFormat="1" ht="39" customHeight="1">
      <c r="A352" s="5">
        <f>A347+1</f>
        <v>37</v>
      </c>
      <c r="B352" s="94" t="s">
        <v>40</v>
      </c>
      <c r="C352" s="68" t="s">
        <v>675</v>
      </c>
      <c r="D352" s="69" t="s">
        <v>87</v>
      </c>
      <c r="E352" s="101"/>
      <c r="F352" s="148">
        <f>(3.05+5.33+5+8.8+4+4+(7.83+2.1+2.1)*3)</f>
        <v>66.27</v>
      </c>
      <c r="G352" s="148"/>
      <c r="H352" s="83"/>
      <c r="I352" s="84"/>
      <c r="J352" s="83"/>
      <c r="K352" s="84"/>
      <c r="L352" s="83"/>
      <c r="M352" s="84"/>
      <c r="N352" s="84"/>
      <c r="O352" s="122"/>
    </row>
    <row r="353" spans="1:15" s="67" customFormat="1" ht="18" customHeight="1">
      <c r="A353" s="4"/>
      <c r="B353" s="145"/>
      <c r="C353" s="63" t="s">
        <v>61</v>
      </c>
      <c r="D353" s="5" t="s">
        <v>86</v>
      </c>
      <c r="E353" s="87">
        <v>1</v>
      </c>
      <c r="F353" s="88">
        <f>F352*E353</f>
        <v>66.27</v>
      </c>
      <c r="G353" s="88"/>
      <c r="H353" s="83"/>
      <c r="I353" s="84"/>
      <c r="J353" s="83"/>
      <c r="K353" s="84"/>
      <c r="L353" s="83"/>
      <c r="M353" s="84"/>
      <c r="N353" s="84"/>
      <c r="O353" s="124"/>
    </row>
    <row r="354" spans="1:15" s="67" customFormat="1" ht="18" customHeight="1">
      <c r="A354" s="4"/>
      <c r="B354" s="123"/>
      <c r="C354" s="128" t="s">
        <v>119</v>
      </c>
      <c r="D354" s="4" t="s">
        <v>138</v>
      </c>
      <c r="E354" s="87">
        <v>7</v>
      </c>
      <c r="F354" s="88">
        <f>F352*E354</f>
        <v>463.89</v>
      </c>
      <c r="G354" s="88"/>
      <c r="H354" s="83"/>
      <c r="I354" s="84"/>
      <c r="J354" s="83"/>
      <c r="K354" s="84"/>
      <c r="L354" s="83"/>
      <c r="M354" s="84"/>
      <c r="N354" s="84"/>
      <c r="O354" s="124"/>
    </row>
    <row r="355" spans="1:15" s="67" customFormat="1" ht="18" customHeight="1">
      <c r="A355" s="4"/>
      <c r="B355" s="145"/>
      <c r="C355" s="128" t="s">
        <v>674</v>
      </c>
      <c r="D355" s="5" t="s">
        <v>86</v>
      </c>
      <c r="E355" s="87">
        <v>1.05</v>
      </c>
      <c r="F355" s="88">
        <f>E355*F352</f>
        <v>69.5835</v>
      </c>
      <c r="G355" s="88"/>
      <c r="H355" s="83"/>
      <c r="I355" s="84"/>
      <c r="J355" s="83"/>
      <c r="K355" s="84"/>
      <c r="L355" s="83"/>
      <c r="M355" s="84"/>
      <c r="N355" s="84"/>
      <c r="O355" s="124"/>
    </row>
    <row r="356" spans="1:15" s="67" customFormat="1" ht="18" customHeight="1">
      <c r="A356" s="4"/>
      <c r="B356" s="145"/>
      <c r="C356" s="128" t="s">
        <v>118</v>
      </c>
      <c r="D356" s="4" t="s">
        <v>138</v>
      </c>
      <c r="E356" s="87">
        <v>0.09</v>
      </c>
      <c r="F356" s="88">
        <f>E356*F352</f>
        <v>5.9643</v>
      </c>
      <c r="G356" s="88"/>
      <c r="H356" s="83"/>
      <c r="I356" s="84"/>
      <c r="J356" s="83"/>
      <c r="K356" s="84"/>
      <c r="L356" s="83"/>
      <c r="M356" s="84"/>
      <c r="N356" s="84"/>
      <c r="O356" s="124"/>
    </row>
    <row r="357" spans="1:15" s="67" customFormat="1" ht="18" customHeight="1">
      <c r="A357" s="4"/>
      <c r="B357" s="123"/>
      <c r="C357" s="63" t="s">
        <v>77</v>
      </c>
      <c r="D357" s="5" t="s">
        <v>15</v>
      </c>
      <c r="E357" s="87">
        <v>0.5</v>
      </c>
      <c r="F357" s="88">
        <f>F352*E357</f>
        <v>33.135</v>
      </c>
      <c r="G357" s="88"/>
      <c r="H357" s="83"/>
      <c r="I357" s="84"/>
      <c r="J357" s="83"/>
      <c r="K357" s="84"/>
      <c r="L357" s="83"/>
      <c r="M357" s="84"/>
      <c r="N357" s="84"/>
      <c r="O357" s="124"/>
    </row>
    <row r="358" spans="1:15" s="232" customFormat="1" ht="36" customHeight="1">
      <c r="A358" s="222">
        <f>A352+1</f>
        <v>38</v>
      </c>
      <c r="B358" s="223" t="s">
        <v>669</v>
      </c>
      <c r="C358" s="68" t="s">
        <v>697</v>
      </c>
      <c r="D358" s="69" t="s">
        <v>87</v>
      </c>
      <c r="E358" s="101"/>
      <c r="F358" s="225">
        <f>(18.1+46.3)*3+94.5+12.73+19.1+18.5+6.44+13.6+9.3+4.1+59.9+11.7+11.7+66.3+65.2+45.1+24.7+24.7</f>
        <v>680.7700000000002</v>
      </c>
      <c r="G358" s="225"/>
      <c r="H358" s="83"/>
      <c r="I358" s="84"/>
      <c r="J358" s="83"/>
      <c r="K358" s="84"/>
      <c r="L358" s="83"/>
      <c r="M358" s="84"/>
      <c r="N358" s="84"/>
      <c r="O358" s="426"/>
    </row>
    <row r="359" spans="1:15" s="232" customFormat="1" ht="18" customHeight="1">
      <c r="A359" s="230"/>
      <c r="B359" s="230"/>
      <c r="C359" s="63" t="s">
        <v>61</v>
      </c>
      <c r="D359" s="5" t="s">
        <v>86</v>
      </c>
      <c r="E359" s="87">
        <v>1</v>
      </c>
      <c r="F359" s="247">
        <f>F358*E359</f>
        <v>680.7700000000002</v>
      </c>
      <c r="G359" s="247"/>
      <c r="H359" s="83"/>
      <c r="I359" s="84"/>
      <c r="J359" s="83"/>
      <c r="K359" s="84"/>
      <c r="L359" s="83"/>
      <c r="M359" s="84"/>
      <c r="N359" s="84"/>
      <c r="O359" s="426"/>
    </row>
    <row r="360" spans="1:15" s="232" customFormat="1" ht="39" customHeight="1">
      <c r="A360" s="230"/>
      <c r="B360" s="222" t="s">
        <v>670</v>
      </c>
      <c r="C360" s="128" t="s">
        <v>698</v>
      </c>
      <c r="D360" s="5" t="s">
        <v>86</v>
      </c>
      <c r="E360" s="101">
        <v>1.05</v>
      </c>
      <c r="F360" s="231">
        <f>F358*E360</f>
        <v>714.8085000000002</v>
      </c>
      <c r="G360" s="231"/>
      <c r="H360" s="83"/>
      <c r="I360" s="84"/>
      <c r="J360" s="83"/>
      <c r="K360" s="84"/>
      <c r="L360" s="83"/>
      <c r="M360" s="84"/>
      <c r="N360" s="84"/>
      <c r="O360" s="426"/>
    </row>
    <row r="361" spans="1:15" s="232" customFormat="1" ht="18" customHeight="1">
      <c r="A361" s="230"/>
      <c r="B361" s="230"/>
      <c r="C361" s="128" t="s">
        <v>671</v>
      </c>
      <c r="D361" s="97" t="s">
        <v>105</v>
      </c>
      <c r="E361" s="87">
        <v>1</v>
      </c>
      <c r="F361" s="476">
        <f>44</f>
        <v>44</v>
      </c>
      <c r="G361" s="476"/>
      <c r="H361" s="83"/>
      <c r="I361" s="84"/>
      <c r="J361" s="83"/>
      <c r="K361" s="84"/>
      <c r="L361" s="83"/>
      <c r="M361" s="84"/>
      <c r="N361" s="84"/>
      <c r="O361" s="426"/>
    </row>
    <row r="362" spans="1:15" s="232" customFormat="1" ht="18" customHeight="1">
      <c r="A362" s="230"/>
      <c r="B362" s="222"/>
      <c r="C362" s="63" t="s">
        <v>77</v>
      </c>
      <c r="D362" s="5" t="s">
        <v>15</v>
      </c>
      <c r="E362" s="101">
        <v>0.107</v>
      </c>
      <c r="F362" s="231">
        <f>F358*E362</f>
        <v>72.84239000000002</v>
      </c>
      <c r="G362" s="231"/>
      <c r="H362" s="83"/>
      <c r="I362" s="84"/>
      <c r="J362" s="83"/>
      <c r="K362" s="84"/>
      <c r="L362" s="83"/>
      <c r="M362" s="84"/>
      <c r="N362" s="84"/>
      <c r="O362" s="426"/>
    </row>
    <row r="363" spans="1:15" s="232" customFormat="1" ht="21" customHeight="1">
      <c r="A363" s="222">
        <f>A358+1</f>
        <v>39</v>
      </c>
      <c r="B363" s="223" t="s">
        <v>672</v>
      </c>
      <c r="C363" s="68" t="s">
        <v>673</v>
      </c>
      <c r="D363" s="69" t="s">
        <v>105</v>
      </c>
      <c r="E363" s="113"/>
      <c r="F363" s="239">
        <f>(17.7+31.2)*3+39+14.8+19.2+18.6+10.2+14.8+12.3+8.6+35.6+13.9+13.9+36+36+13.9+13.9+30.6+20.6+20.6</f>
        <v>519.1999999999999</v>
      </c>
      <c r="G363" s="239"/>
      <c r="H363" s="83"/>
      <c r="I363" s="84"/>
      <c r="J363" s="83"/>
      <c r="K363" s="84"/>
      <c r="L363" s="83"/>
      <c r="M363" s="84"/>
      <c r="N363" s="84"/>
      <c r="O363" s="426"/>
    </row>
    <row r="364" spans="1:15" s="232" customFormat="1" ht="18" customHeight="1">
      <c r="A364" s="230"/>
      <c r="B364" s="230"/>
      <c r="C364" s="63" t="s">
        <v>61</v>
      </c>
      <c r="D364" s="97" t="str">
        <f>D363</f>
        <v>გრძ.მ.</v>
      </c>
      <c r="E364" s="87">
        <v>1</v>
      </c>
      <c r="F364" s="88">
        <f>F363*E364</f>
        <v>519.1999999999999</v>
      </c>
      <c r="G364" s="88"/>
      <c r="H364" s="83"/>
      <c r="I364" s="84"/>
      <c r="J364" s="83"/>
      <c r="K364" s="84"/>
      <c r="L364" s="83"/>
      <c r="M364" s="84"/>
      <c r="N364" s="84"/>
      <c r="O364" s="426"/>
    </row>
    <row r="365" spans="1:15" s="232" customFormat="1" ht="36" customHeight="1">
      <c r="A365" s="230"/>
      <c r="B365" s="222" t="s">
        <v>11</v>
      </c>
      <c r="C365" s="128" t="s">
        <v>754</v>
      </c>
      <c r="D365" s="97" t="str">
        <f>D363</f>
        <v>გრძ.მ.</v>
      </c>
      <c r="E365" s="87">
        <v>1.01</v>
      </c>
      <c r="F365" s="231">
        <f>E365*F363</f>
        <v>524.3919999999999</v>
      </c>
      <c r="G365" s="231"/>
      <c r="H365" s="83"/>
      <c r="I365" s="84"/>
      <c r="J365" s="83"/>
      <c r="K365" s="84"/>
      <c r="L365" s="83"/>
      <c r="M365" s="84"/>
      <c r="N365" s="84"/>
      <c r="O365" s="426"/>
    </row>
    <row r="366" spans="1:16" s="46" customFormat="1" ht="18" customHeight="1">
      <c r="A366" s="190"/>
      <c r="B366" s="191"/>
      <c r="C366" s="156" t="s">
        <v>91</v>
      </c>
      <c r="D366" s="112"/>
      <c r="E366" s="101"/>
      <c r="F366" s="42"/>
      <c r="G366" s="42"/>
      <c r="H366" s="42"/>
      <c r="I366" s="83"/>
      <c r="J366" s="84"/>
      <c r="K366" s="83"/>
      <c r="L366" s="84"/>
      <c r="M366" s="83"/>
      <c r="N366" s="83"/>
      <c r="O366" s="192"/>
      <c r="P366" s="189"/>
    </row>
    <row r="367" spans="1:15" s="229" customFormat="1" ht="36" customHeight="1">
      <c r="A367" s="222">
        <f>A363+1</f>
        <v>40</v>
      </c>
      <c r="B367" s="223" t="s">
        <v>679</v>
      </c>
      <c r="C367" s="68" t="s">
        <v>699</v>
      </c>
      <c r="D367" s="69" t="s">
        <v>87</v>
      </c>
      <c r="E367" s="113"/>
      <c r="F367" s="239">
        <f>F373+F379</f>
        <v>2670.734999999999</v>
      </c>
      <c r="G367" s="239"/>
      <c r="H367" s="83"/>
      <c r="I367" s="84"/>
      <c r="J367" s="83"/>
      <c r="K367" s="84"/>
      <c r="L367" s="83"/>
      <c r="M367" s="84"/>
      <c r="N367" s="84"/>
      <c r="O367" s="426"/>
    </row>
    <row r="368" spans="1:15" s="232" customFormat="1" ht="18" customHeight="1">
      <c r="A368" s="230"/>
      <c r="B368" s="230"/>
      <c r="C368" s="63" t="s">
        <v>61</v>
      </c>
      <c r="D368" s="5" t="s">
        <v>86</v>
      </c>
      <c r="E368" s="87">
        <v>1</v>
      </c>
      <c r="F368" s="88">
        <f>F367*E368</f>
        <v>2670.734999999999</v>
      </c>
      <c r="G368" s="88"/>
      <c r="H368" s="83"/>
      <c r="I368" s="84"/>
      <c r="J368" s="83"/>
      <c r="K368" s="84"/>
      <c r="L368" s="83"/>
      <c r="M368" s="84"/>
      <c r="N368" s="84"/>
      <c r="O368" s="426"/>
    </row>
    <row r="369" spans="1:15" s="232" customFormat="1" ht="18" customHeight="1">
      <c r="A369" s="230"/>
      <c r="B369" s="222"/>
      <c r="C369" s="128" t="s">
        <v>753</v>
      </c>
      <c r="D369" s="5" t="s">
        <v>74</v>
      </c>
      <c r="E369" s="87">
        <f>(1.58+0.2)/100</f>
        <v>0.0178</v>
      </c>
      <c r="F369" s="231">
        <f>F367*E369</f>
        <v>47.539082999999984</v>
      </c>
      <c r="G369" s="231"/>
      <c r="H369" s="83"/>
      <c r="I369" s="84"/>
      <c r="J369" s="83"/>
      <c r="K369" s="84"/>
      <c r="L369" s="83"/>
      <c r="M369" s="84"/>
      <c r="N369" s="84"/>
      <c r="O369" s="426"/>
    </row>
    <row r="370" spans="1:15" s="431" customFormat="1" ht="18" customHeight="1">
      <c r="A370" s="222"/>
      <c r="B370" s="244" t="s">
        <v>680</v>
      </c>
      <c r="C370" s="128" t="s">
        <v>94</v>
      </c>
      <c r="D370" s="5" t="s">
        <v>74</v>
      </c>
      <c r="E370" s="87">
        <v>1.16</v>
      </c>
      <c r="F370" s="231">
        <f>F369*E370</f>
        <v>55.14533627999998</v>
      </c>
      <c r="G370" s="231"/>
      <c r="H370" s="83"/>
      <c r="I370" s="84"/>
      <c r="J370" s="83"/>
      <c r="K370" s="84"/>
      <c r="L370" s="83"/>
      <c r="M370" s="84"/>
      <c r="N370" s="84"/>
      <c r="O370" s="478"/>
    </row>
    <row r="371" spans="1:15" s="431" customFormat="1" ht="18" customHeight="1">
      <c r="A371" s="222"/>
      <c r="B371" s="244" t="s">
        <v>681</v>
      </c>
      <c r="C371" s="128" t="s">
        <v>95</v>
      </c>
      <c r="D371" s="4" t="s">
        <v>81</v>
      </c>
      <c r="E371" s="101">
        <v>0.416</v>
      </c>
      <c r="F371" s="231">
        <f>E371*F369</f>
        <v>19.776258527999993</v>
      </c>
      <c r="G371" s="231"/>
      <c r="H371" s="83"/>
      <c r="I371" s="84"/>
      <c r="J371" s="83"/>
      <c r="K371" s="84"/>
      <c r="L371" s="83"/>
      <c r="M371" s="84"/>
      <c r="N371" s="84"/>
      <c r="O371" s="478"/>
    </row>
    <row r="372" spans="1:15" s="232" customFormat="1" ht="18" customHeight="1">
      <c r="A372" s="230"/>
      <c r="B372" s="222"/>
      <c r="C372" s="63" t="s">
        <v>77</v>
      </c>
      <c r="D372" s="5" t="s">
        <v>15</v>
      </c>
      <c r="E372" s="101">
        <f>0.3/100</f>
        <v>0.003</v>
      </c>
      <c r="F372" s="231">
        <f>F367*E372</f>
        <v>8.012204999999998</v>
      </c>
      <c r="G372" s="231"/>
      <c r="H372" s="83"/>
      <c r="I372" s="84"/>
      <c r="J372" s="83"/>
      <c r="K372" s="84"/>
      <c r="L372" s="83"/>
      <c r="M372" s="84"/>
      <c r="N372" s="84"/>
      <c r="O372" s="426"/>
    </row>
    <row r="373" spans="1:15" s="229" customFormat="1" ht="24" customHeight="1">
      <c r="A373" s="222">
        <f>A367+1</f>
        <v>41</v>
      </c>
      <c r="B373" s="223" t="s">
        <v>682</v>
      </c>
      <c r="C373" s="68" t="s">
        <v>700</v>
      </c>
      <c r="D373" s="69" t="s">
        <v>87</v>
      </c>
      <c r="E373" s="100"/>
      <c r="F373" s="239">
        <f>(7+9.9+9.1+12.4+8+8+11.9+6+6)*3.3+30</f>
        <v>288.39</v>
      </c>
      <c r="G373" s="239"/>
      <c r="H373" s="83"/>
      <c r="I373" s="84"/>
      <c r="J373" s="83"/>
      <c r="K373" s="84"/>
      <c r="L373" s="83"/>
      <c r="M373" s="84"/>
      <c r="N373" s="84"/>
      <c r="O373" s="426"/>
    </row>
    <row r="374" spans="1:16" s="249" customFormat="1" ht="17.25" customHeight="1">
      <c r="A374" s="230"/>
      <c r="B374" s="230"/>
      <c r="C374" s="63" t="s">
        <v>61</v>
      </c>
      <c r="D374" s="5" t="s">
        <v>86</v>
      </c>
      <c r="E374" s="87">
        <v>1</v>
      </c>
      <c r="F374" s="88">
        <f>F373*E374</f>
        <v>288.39</v>
      </c>
      <c r="G374" s="88"/>
      <c r="H374" s="83"/>
      <c r="I374" s="84"/>
      <c r="J374" s="83"/>
      <c r="K374" s="84"/>
      <c r="L374" s="83"/>
      <c r="M374" s="84"/>
      <c r="N374" s="84"/>
      <c r="O374" s="426"/>
      <c r="P374" s="232"/>
    </row>
    <row r="375" spans="1:15" s="232" customFormat="1" ht="18" customHeight="1">
      <c r="A375" s="230"/>
      <c r="B375" s="222" t="s">
        <v>683</v>
      </c>
      <c r="C375" s="128" t="s">
        <v>627</v>
      </c>
      <c r="D375" s="5" t="s">
        <v>138</v>
      </c>
      <c r="E375" s="87">
        <v>7</v>
      </c>
      <c r="F375" s="231">
        <f>F373*E375</f>
        <v>2018.73</v>
      </c>
      <c r="G375" s="231"/>
      <c r="H375" s="83"/>
      <c r="I375" s="84"/>
      <c r="J375" s="83"/>
      <c r="K375" s="84"/>
      <c r="L375" s="83"/>
      <c r="M375" s="84"/>
      <c r="N375" s="84"/>
      <c r="O375" s="426"/>
    </row>
    <row r="376" spans="1:15" s="232" customFormat="1" ht="17.25" customHeight="1">
      <c r="A376" s="230"/>
      <c r="B376" s="230"/>
      <c r="C376" s="128" t="s">
        <v>686</v>
      </c>
      <c r="D376" s="5" t="s">
        <v>86</v>
      </c>
      <c r="E376" s="87">
        <v>1</v>
      </c>
      <c r="F376" s="224">
        <f>F373*E376</f>
        <v>288.39</v>
      </c>
      <c r="G376" s="224"/>
      <c r="H376" s="83"/>
      <c r="I376" s="84"/>
      <c r="J376" s="83"/>
      <c r="K376" s="84"/>
      <c r="L376" s="83"/>
      <c r="M376" s="84"/>
      <c r="N376" s="84"/>
      <c r="O376" s="426"/>
    </row>
    <row r="377" spans="1:15" s="232" customFormat="1" ht="17.25" customHeight="1">
      <c r="A377" s="230"/>
      <c r="B377" s="230"/>
      <c r="C377" s="128" t="s">
        <v>701</v>
      </c>
      <c r="D377" s="97" t="s">
        <v>105</v>
      </c>
      <c r="E377" s="87">
        <v>0.5</v>
      </c>
      <c r="F377" s="224">
        <f>F373*E377</f>
        <v>144.195</v>
      </c>
      <c r="G377" s="224"/>
      <c r="H377" s="83"/>
      <c r="I377" s="84"/>
      <c r="J377" s="83"/>
      <c r="K377" s="84"/>
      <c r="L377" s="83"/>
      <c r="M377" s="84"/>
      <c r="N377" s="84"/>
      <c r="O377" s="426"/>
    </row>
    <row r="378" spans="1:15" s="232" customFormat="1" ht="17.25" customHeight="1">
      <c r="A378" s="230"/>
      <c r="B378" s="222"/>
      <c r="C378" s="63" t="s">
        <v>77</v>
      </c>
      <c r="D378" s="5" t="s">
        <v>15</v>
      </c>
      <c r="E378" s="101">
        <v>0.007</v>
      </c>
      <c r="F378" s="231">
        <f>F373*E378</f>
        <v>2.01873</v>
      </c>
      <c r="G378" s="231"/>
      <c r="H378" s="83"/>
      <c r="I378" s="84"/>
      <c r="J378" s="83"/>
      <c r="K378" s="84"/>
      <c r="L378" s="83"/>
      <c r="M378" s="84"/>
      <c r="N378" s="84"/>
      <c r="O378" s="426"/>
    </row>
    <row r="379" spans="1:15" s="229" customFormat="1" ht="39" customHeight="1">
      <c r="A379" s="222">
        <f>A373+1</f>
        <v>42</v>
      </c>
      <c r="B379" s="223" t="s">
        <v>684</v>
      </c>
      <c r="C379" s="68" t="s">
        <v>719</v>
      </c>
      <c r="D379" s="69" t="s">
        <v>87</v>
      </c>
      <c r="E379" s="100"/>
      <c r="F379" s="239">
        <f>((17.7+31.2)*3+39+14.8+19.2+18.6+10.2+14.8+12.3+8.6+35.6+13.9+13.9+36+36+13.9+13.9+30.6+20.6+20.6)*3.4+(55.5+290.5)*3.4-(F423+F433+F436+F439)</f>
        <v>2382.3449999999993</v>
      </c>
      <c r="G379" s="239"/>
      <c r="H379" s="83"/>
      <c r="I379" s="84"/>
      <c r="J379" s="83"/>
      <c r="K379" s="84"/>
      <c r="L379" s="83"/>
      <c r="M379" s="84"/>
      <c r="N379" s="84"/>
      <c r="O379" s="426"/>
    </row>
    <row r="380" spans="1:16" s="249" customFormat="1" ht="18" customHeight="1">
      <c r="A380" s="230"/>
      <c r="B380" s="230"/>
      <c r="C380" s="63" t="s">
        <v>61</v>
      </c>
      <c r="D380" s="5" t="s">
        <v>86</v>
      </c>
      <c r="E380" s="87">
        <v>1</v>
      </c>
      <c r="F380" s="88">
        <f>F379*E380</f>
        <v>2382.3449999999993</v>
      </c>
      <c r="G380" s="88"/>
      <c r="H380" s="83"/>
      <c r="I380" s="84"/>
      <c r="J380" s="83"/>
      <c r="K380" s="84"/>
      <c r="L380" s="83"/>
      <c r="M380" s="84"/>
      <c r="N380" s="84"/>
      <c r="O380" s="426"/>
      <c r="P380" s="232"/>
    </row>
    <row r="381" spans="1:15" s="232" customFormat="1" ht="18" customHeight="1">
      <c r="A381" s="230"/>
      <c r="B381" s="230"/>
      <c r="C381" s="128" t="s">
        <v>702</v>
      </c>
      <c r="D381" s="5" t="s">
        <v>138</v>
      </c>
      <c r="E381" s="87">
        <v>0.63</v>
      </c>
      <c r="F381" s="224">
        <f>F379*E381</f>
        <v>1500.8773499999995</v>
      </c>
      <c r="G381" s="224"/>
      <c r="H381" s="83"/>
      <c r="I381" s="84"/>
      <c r="J381" s="83"/>
      <c r="K381" s="84"/>
      <c r="L381" s="83"/>
      <c r="M381" s="84"/>
      <c r="N381" s="84"/>
      <c r="O381" s="426"/>
    </row>
    <row r="382" spans="1:15" s="232" customFormat="1" ht="18" customHeight="1">
      <c r="A382" s="230"/>
      <c r="B382" s="230" t="s">
        <v>685</v>
      </c>
      <c r="C382" s="128" t="s">
        <v>703</v>
      </c>
      <c r="D382" s="5" t="s">
        <v>138</v>
      </c>
      <c r="E382" s="87">
        <v>0.79</v>
      </c>
      <c r="F382" s="224">
        <f>F379*E382</f>
        <v>1882.0525499999997</v>
      </c>
      <c r="G382" s="224"/>
      <c r="H382" s="83"/>
      <c r="I382" s="84"/>
      <c r="J382" s="83"/>
      <c r="K382" s="84"/>
      <c r="L382" s="83"/>
      <c r="M382" s="84"/>
      <c r="N382" s="84"/>
      <c r="O382" s="426"/>
    </row>
    <row r="383" spans="1:15" s="232" customFormat="1" ht="18" customHeight="1">
      <c r="A383" s="230"/>
      <c r="B383" s="230"/>
      <c r="C383" s="128" t="s">
        <v>704</v>
      </c>
      <c r="D383" s="97" t="s">
        <v>105</v>
      </c>
      <c r="E383" s="87">
        <v>0.5</v>
      </c>
      <c r="F383" s="224">
        <f>E383*F379</f>
        <v>1191.1724999999997</v>
      </c>
      <c r="G383" s="224"/>
      <c r="H383" s="83"/>
      <c r="I383" s="84"/>
      <c r="J383" s="83"/>
      <c r="K383" s="84"/>
      <c r="L383" s="83"/>
      <c r="M383" s="84"/>
      <c r="N383" s="84"/>
      <c r="O383" s="426"/>
    </row>
    <row r="384" spans="1:15" s="232" customFormat="1" ht="18" customHeight="1">
      <c r="A384" s="230"/>
      <c r="B384" s="230"/>
      <c r="C384" s="128" t="s">
        <v>705</v>
      </c>
      <c r="D384" s="97" t="s">
        <v>105</v>
      </c>
      <c r="E384" s="87">
        <v>1.23</v>
      </c>
      <c r="F384" s="224">
        <f>E384*F379</f>
        <v>2930.284349999999</v>
      </c>
      <c r="G384" s="224"/>
      <c r="H384" s="83"/>
      <c r="I384" s="84"/>
      <c r="J384" s="83"/>
      <c r="K384" s="84"/>
      <c r="L384" s="83"/>
      <c r="M384" s="84"/>
      <c r="N384" s="84"/>
      <c r="O384" s="426"/>
    </row>
    <row r="385" spans="1:15" s="232" customFormat="1" ht="18" customHeight="1">
      <c r="A385" s="230"/>
      <c r="B385" s="222"/>
      <c r="C385" s="63" t="s">
        <v>77</v>
      </c>
      <c r="D385" s="5" t="s">
        <v>15</v>
      </c>
      <c r="E385" s="101">
        <v>0.016</v>
      </c>
      <c r="F385" s="231">
        <f>F379*E385</f>
        <v>38.11751999999999</v>
      </c>
      <c r="G385" s="231"/>
      <c r="H385" s="83"/>
      <c r="I385" s="84"/>
      <c r="J385" s="83"/>
      <c r="K385" s="84"/>
      <c r="L385" s="83"/>
      <c r="M385" s="84"/>
      <c r="N385" s="84"/>
      <c r="O385" s="426"/>
    </row>
    <row r="386" spans="1:16" s="46" customFormat="1" ht="18" customHeight="1">
      <c r="A386" s="190"/>
      <c r="B386" s="191"/>
      <c r="C386" s="156" t="s">
        <v>676</v>
      </c>
      <c r="D386" s="112"/>
      <c r="E386" s="101"/>
      <c r="F386" s="42"/>
      <c r="G386" s="42"/>
      <c r="H386" s="42"/>
      <c r="I386" s="83"/>
      <c r="J386" s="84"/>
      <c r="K386" s="83"/>
      <c r="L386" s="84"/>
      <c r="M386" s="83"/>
      <c r="N386" s="83"/>
      <c r="O386" s="192"/>
      <c r="P386" s="189"/>
    </row>
    <row r="387" spans="1:17" s="422" customFormat="1" ht="36" customHeight="1">
      <c r="A387" s="222">
        <f>A379+1</f>
        <v>43</v>
      </c>
      <c r="B387" s="419" t="s">
        <v>677</v>
      </c>
      <c r="C387" s="468" t="s">
        <v>718</v>
      </c>
      <c r="D387" s="69" t="s">
        <v>87</v>
      </c>
      <c r="E387" s="435"/>
      <c r="F387" s="553">
        <f>F358+F341</f>
        <v>1026.7700000000002</v>
      </c>
      <c r="G387" s="553"/>
      <c r="H387" s="83"/>
      <c r="I387" s="84"/>
      <c r="J387" s="83"/>
      <c r="K387" s="84"/>
      <c r="L387" s="83"/>
      <c r="M387" s="84"/>
      <c r="N387" s="84"/>
      <c r="O387" s="420"/>
      <c r="P387" s="421"/>
      <c r="Q387" s="421"/>
    </row>
    <row r="388" spans="1:17" s="422" customFormat="1" ht="18" customHeight="1">
      <c r="A388" s="423"/>
      <c r="B388" s="477"/>
      <c r="C388" s="63" t="s">
        <v>61</v>
      </c>
      <c r="D388" s="5" t="s">
        <v>86</v>
      </c>
      <c r="E388" s="87">
        <v>1</v>
      </c>
      <c r="F388" s="280">
        <f>F387*E388</f>
        <v>1026.7700000000002</v>
      </c>
      <c r="G388" s="280"/>
      <c r="H388" s="83"/>
      <c r="I388" s="84"/>
      <c r="J388" s="83"/>
      <c r="K388" s="84"/>
      <c r="L388" s="83"/>
      <c r="M388" s="84"/>
      <c r="N388" s="84"/>
      <c r="O388" s="425"/>
      <c r="P388" s="421"/>
      <c r="Q388" s="421"/>
    </row>
    <row r="389" spans="1:17" s="422" customFormat="1" ht="18" customHeight="1">
      <c r="A389" s="423"/>
      <c r="B389" s="477"/>
      <c r="C389" s="469" t="s">
        <v>706</v>
      </c>
      <c r="D389" s="97" t="s">
        <v>105</v>
      </c>
      <c r="E389" s="436">
        <f>66/100</f>
        <v>0.66</v>
      </c>
      <c r="F389" s="247">
        <f>E389*F387</f>
        <v>677.6682000000002</v>
      </c>
      <c r="G389" s="247"/>
      <c r="H389" s="83"/>
      <c r="I389" s="84"/>
      <c r="J389" s="83"/>
      <c r="K389" s="84"/>
      <c r="L389" s="83"/>
      <c r="M389" s="84"/>
      <c r="N389" s="84"/>
      <c r="O389" s="425"/>
      <c r="P389" s="421"/>
      <c r="Q389" s="421"/>
    </row>
    <row r="390" spans="1:15" s="232" customFormat="1" ht="18" customHeight="1">
      <c r="A390" s="230"/>
      <c r="B390" s="230"/>
      <c r="C390" s="469" t="s">
        <v>707</v>
      </c>
      <c r="D390" s="97" t="s">
        <v>105</v>
      </c>
      <c r="E390" s="436">
        <f>278/100</f>
        <v>2.78</v>
      </c>
      <c r="F390" s="247">
        <f>E390*F387</f>
        <v>2854.4206000000004</v>
      </c>
      <c r="G390" s="247"/>
      <c r="H390" s="83"/>
      <c r="I390" s="84"/>
      <c r="J390" s="83"/>
      <c r="K390" s="84"/>
      <c r="L390" s="83"/>
      <c r="M390" s="84"/>
      <c r="N390" s="84"/>
      <c r="O390" s="426"/>
    </row>
    <row r="391" spans="1:15" s="232" customFormat="1" ht="18" customHeight="1">
      <c r="A391" s="230"/>
      <c r="B391" s="230"/>
      <c r="C391" s="469" t="s">
        <v>708</v>
      </c>
      <c r="D391" s="97" t="s">
        <v>92</v>
      </c>
      <c r="E391" s="436">
        <v>1.78</v>
      </c>
      <c r="F391" s="247">
        <f>E391*F387</f>
        <v>1827.6506000000004</v>
      </c>
      <c r="G391" s="247"/>
      <c r="H391" s="83"/>
      <c r="I391" s="84"/>
      <c r="J391" s="83"/>
      <c r="K391" s="84"/>
      <c r="L391" s="83"/>
      <c r="M391" s="84"/>
      <c r="N391" s="84"/>
      <c r="O391" s="426"/>
    </row>
    <row r="392" spans="1:15" s="232" customFormat="1" ht="18" customHeight="1">
      <c r="A392" s="230"/>
      <c r="B392" s="230"/>
      <c r="C392" s="469" t="s">
        <v>708</v>
      </c>
      <c r="D392" s="97" t="s">
        <v>92</v>
      </c>
      <c r="E392" s="436">
        <v>0.16</v>
      </c>
      <c r="F392" s="247">
        <f>E392*F387</f>
        <v>164.28320000000005</v>
      </c>
      <c r="G392" s="247"/>
      <c r="H392" s="83"/>
      <c r="I392" s="84"/>
      <c r="J392" s="83"/>
      <c r="K392" s="84"/>
      <c r="L392" s="83"/>
      <c r="M392" s="84"/>
      <c r="N392" s="84"/>
      <c r="O392" s="426"/>
    </row>
    <row r="393" spans="1:15" s="232" customFormat="1" ht="18" customHeight="1">
      <c r="A393" s="230"/>
      <c r="B393" s="230"/>
      <c r="C393" s="469" t="s">
        <v>709</v>
      </c>
      <c r="D393" s="97" t="s">
        <v>92</v>
      </c>
      <c r="E393" s="436">
        <v>0.65</v>
      </c>
      <c r="F393" s="247">
        <f>E393*F387</f>
        <v>667.4005000000002</v>
      </c>
      <c r="G393" s="247"/>
      <c r="H393" s="83"/>
      <c r="I393" s="84"/>
      <c r="J393" s="83"/>
      <c r="K393" s="84"/>
      <c r="L393" s="83"/>
      <c r="M393" s="84"/>
      <c r="N393" s="84"/>
      <c r="O393" s="426"/>
    </row>
    <row r="394" spans="1:15" s="232" customFormat="1" ht="18" customHeight="1">
      <c r="A394" s="230"/>
      <c r="B394" s="230"/>
      <c r="C394" s="469" t="s">
        <v>710</v>
      </c>
      <c r="D394" s="97" t="s">
        <v>92</v>
      </c>
      <c r="E394" s="436">
        <v>1.48</v>
      </c>
      <c r="F394" s="247">
        <f>F387*E394</f>
        <v>1519.6196000000002</v>
      </c>
      <c r="G394" s="247"/>
      <c r="H394" s="83"/>
      <c r="I394" s="84"/>
      <c r="J394" s="83"/>
      <c r="K394" s="84"/>
      <c r="L394" s="83"/>
      <c r="M394" s="84"/>
      <c r="N394" s="84"/>
      <c r="O394" s="426"/>
    </row>
    <row r="395" spans="1:15" s="232" customFormat="1" ht="18" customHeight="1">
      <c r="A395" s="230"/>
      <c r="B395" s="230"/>
      <c r="C395" s="469" t="s">
        <v>711</v>
      </c>
      <c r="D395" s="97" t="s">
        <v>92</v>
      </c>
      <c r="E395" s="436">
        <v>0.65</v>
      </c>
      <c r="F395" s="247">
        <f>F387*E395</f>
        <v>667.4005000000002</v>
      </c>
      <c r="G395" s="247"/>
      <c r="H395" s="83"/>
      <c r="I395" s="84"/>
      <c r="J395" s="83"/>
      <c r="K395" s="84"/>
      <c r="L395" s="83"/>
      <c r="M395" s="84"/>
      <c r="N395" s="84"/>
      <c r="O395" s="426"/>
    </row>
    <row r="396" spans="1:15" s="232" customFormat="1" ht="18" customHeight="1">
      <c r="A396" s="230"/>
      <c r="B396" s="230"/>
      <c r="C396" s="469" t="s">
        <v>712</v>
      </c>
      <c r="D396" s="97" t="s">
        <v>105</v>
      </c>
      <c r="E396" s="436">
        <f>80.95/100</f>
        <v>0.8095</v>
      </c>
      <c r="F396" s="247">
        <f>F387*E396</f>
        <v>831.1703150000002</v>
      </c>
      <c r="G396" s="247"/>
      <c r="H396" s="83"/>
      <c r="I396" s="84"/>
      <c r="J396" s="83"/>
      <c r="K396" s="84"/>
      <c r="L396" s="83"/>
      <c r="M396" s="84"/>
      <c r="N396" s="84"/>
      <c r="O396" s="426"/>
    </row>
    <row r="397" spans="1:15" s="232" customFormat="1" ht="18" customHeight="1">
      <c r="A397" s="230"/>
      <c r="B397" s="230"/>
      <c r="C397" s="469" t="s">
        <v>713</v>
      </c>
      <c r="D397" s="97" t="s">
        <v>105</v>
      </c>
      <c r="E397" s="436">
        <f>66.67/100</f>
        <v>0.6667000000000001</v>
      </c>
      <c r="F397" s="247">
        <f>E397*F387</f>
        <v>684.5475590000002</v>
      </c>
      <c r="G397" s="247"/>
      <c r="H397" s="83"/>
      <c r="I397" s="84"/>
      <c r="J397" s="83"/>
      <c r="K397" s="84"/>
      <c r="L397" s="83"/>
      <c r="M397" s="84"/>
      <c r="N397" s="84"/>
      <c r="O397" s="426"/>
    </row>
    <row r="398" spans="1:17" s="422" customFormat="1" ht="15.75">
      <c r="A398" s="423"/>
      <c r="B398" s="477"/>
      <c r="C398" s="469" t="s">
        <v>714</v>
      </c>
      <c r="D398" s="5" t="s">
        <v>86</v>
      </c>
      <c r="E398" s="437">
        <v>1</v>
      </c>
      <c r="F398" s="247">
        <f>E398*F387</f>
        <v>1026.7700000000002</v>
      </c>
      <c r="G398" s="247"/>
      <c r="H398" s="83"/>
      <c r="I398" s="84"/>
      <c r="J398" s="83"/>
      <c r="K398" s="84"/>
      <c r="L398" s="83"/>
      <c r="M398" s="84"/>
      <c r="N398" s="84"/>
      <c r="O398" s="425"/>
      <c r="P398" s="421"/>
      <c r="Q398" s="421"/>
    </row>
    <row r="399" spans="1:17" s="422" customFormat="1" ht="18" customHeight="1">
      <c r="A399" s="423"/>
      <c r="B399" s="477"/>
      <c r="C399" s="469" t="s">
        <v>715</v>
      </c>
      <c r="D399" s="97" t="s">
        <v>92</v>
      </c>
      <c r="E399" s="438">
        <f>(129+2293)/100</f>
        <v>24.22</v>
      </c>
      <c r="F399" s="247">
        <f>E399*F387</f>
        <v>24868.369400000003</v>
      </c>
      <c r="G399" s="247"/>
      <c r="H399" s="83"/>
      <c r="I399" s="84"/>
      <c r="J399" s="83"/>
      <c r="K399" s="84"/>
      <c r="L399" s="83"/>
      <c r="M399" s="84"/>
      <c r="N399" s="84"/>
      <c r="O399" s="425"/>
      <c r="P399" s="421"/>
      <c r="Q399" s="421"/>
    </row>
    <row r="400" spans="1:17" s="422" customFormat="1" ht="36" customHeight="1">
      <c r="A400" s="222">
        <f>A387+1</f>
        <v>44</v>
      </c>
      <c r="B400" s="419" t="s">
        <v>677</v>
      </c>
      <c r="C400" s="468" t="s">
        <v>717</v>
      </c>
      <c r="D400" s="69" t="s">
        <v>87</v>
      </c>
      <c r="E400" s="435"/>
      <c r="F400" s="553">
        <f>F352</f>
        <v>66.27</v>
      </c>
      <c r="G400" s="553"/>
      <c r="H400" s="83"/>
      <c r="I400" s="84"/>
      <c r="J400" s="83"/>
      <c r="K400" s="84"/>
      <c r="L400" s="83"/>
      <c r="M400" s="84"/>
      <c r="N400" s="84"/>
      <c r="O400" s="420"/>
      <c r="P400" s="421"/>
      <c r="Q400" s="421"/>
    </row>
    <row r="401" spans="1:17" s="422" customFormat="1" ht="18" customHeight="1">
      <c r="A401" s="423"/>
      <c r="B401" s="477"/>
      <c r="C401" s="63" t="s">
        <v>61</v>
      </c>
      <c r="D401" s="5" t="s">
        <v>86</v>
      </c>
      <c r="E401" s="87">
        <v>1</v>
      </c>
      <c r="F401" s="280">
        <f>F400*E401</f>
        <v>66.27</v>
      </c>
      <c r="G401" s="280"/>
      <c r="H401" s="83"/>
      <c r="I401" s="84"/>
      <c r="J401" s="83"/>
      <c r="K401" s="84"/>
      <c r="L401" s="83"/>
      <c r="M401" s="84"/>
      <c r="N401" s="84"/>
      <c r="O401" s="425"/>
      <c r="P401" s="421"/>
      <c r="Q401" s="421"/>
    </row>
    <row r="402" spans="1:17" s="422" customFormat="1" ht="18" customHeight="1">
      <c r="A402" s="423"/>
      <c r="B402" s="477"/>
      <c r="C402" s="469" t="s">
        <v>706</v>
      </c>
      <c r="D402" s="97" t="s">
        <v>105</v>
      </c>
      <c r="E402" s="436">
        <f>66/100</f>
        <v>0.66</v>
      </c>
      <c r="F402" s="247">
        <f>E402*F400</f>
        <v>43.7382</v>
      </c>
      <c r="G402" s="247"/>
      <c r="H402" s="83"/>
      <c r="I402" s="84"/>
      <c r="J402" s="83"/>
      <c r="K402" s="84"/>
      <c r="L402" s="83"/>
      <c r="M402" s="84"/>
      <c r="N402" s="84"/>
      <c r="O402" s="425"/>
      <c r="P402" s="421"/>
      <c r="Q402" s="421"/>
    </row>
    <row r="403" spans="1:15" s="232" customFormat="1" ht="18" customHeight="1">
      <c r="A403" s="230"/>
      <c r="B403" s="230"/>
      <c r="C403" s="469" t="s">
        <v>707</v>
      </c>
      <c r="D403" s="97" t="s">
        <v>105</v>
      </c>
      <c r="E403" s="436">
        <f>278/100</f>
        <v>2.78</v>
      </c>
      <c r="F403" s="247">
        <f>E403*F400</f>
        <v>184.23059999999998</v>
      </c>
      <c r="G403" s="247"/>
      <c r="H403" s="83"/>
      <c r="I403" s="84"/>
      <c r="J403" s="83"/>
      <c r="K403" s="84"/>
      <c r="L403" s="83"/>
      <c r="M403" s="84"/>
      <c r="N403" s="84"/>
      <c r="O403" s="426"/>
    </row>
    <row r="404" spans="1:15" s="232" customFormat="1" ht="18" customHeight="1">
      <c r="A404" s="230"/>
      <c r="B404" s="230"/>
      <c r="C404" s="469" t="s">
        <v>708</v>
      </c>
      <c r="D404" s="97" t="s">
        <v>92</v>
      </c>
      <c r="E404" s="436">
        <v>1.78</v>
      </c>
      <c r="F404" s="247">
        <f>E404*F400</f>
        <v>117.9606</v>
      </c>
      <c r="G404" s="247"/>
      <c r="H404" s="83"/>
      <c r="I404" s="84"/>
      <c r="J404" s="83"/>
      <c r="K404" s="84"/>
      <c r="L404" s="83"/>
      <c r="M404" s="84"/>
      <c r="N404" s="84"/>
      <c r="O404" s="426"/>
    </row>
    <row r="405" spans="1:15" s="232" customFormat="1" ht="18" customHeight="1">
      <c r="A405" s="230"/>
      <c r="B405" s="230"/>
      <c r="C405" s="469" t="s">
        <v>708</v>
      </c>
      <c r="D405" s="97" t="s">
        <v>92</v>
      </c>
      <c r="E405" s="436">
        <v>0.16</v>
      </c>
      <c r="F405" s="247">
        <f>E405*F400</f>
        <v>10.6032</v>
      </c>
      <c r="G405" s="247"/>
      <c r="H405" s="83"/>
      <c r="I405" s="84"/>
      <c r="J405" s="83"/>
      <c r="K405" s="84"/>
      <c r="L405" s="83"/>
      <c r="M405" s="84"/>
      <c r="N405" s="84"/>
      <c r="O405" s="426"/>
    </row>
    <row r="406" spans="1:15" s="232" customFormat="1" ht="18" customHeight="1">
      <c r="A406" s="230"/>
      <c r="B406" s="230"/>
      <c r="C406" s="469" t="s">
        <v>709</v>
      </c>
      <c r="D406" s="97" t="s">
        <v>92</v>
      </c>
      <c r="E406" s="436">
        <v>0.65</v>
      </c>
      <c r="F406" s="247">
        <f>E406*F400</f>
        <v>43.0755</v>
      </c>
      <c r="G406" s="247"/>
      <c r="H406" s="83"/>
      <c r="I406" s="84"/>
      <c r="J406" s="83"/>
      <c r="K406" s="84"/>
      <c r="L406" s="83"/>
      <c r="M406" s="84"/>
      <c r="N406" s="84"/>
      <c r="O406" s="426"/>
    </row>
    <row r="407" spans="1:15" s="232" customFormat="1" ht="18" customHeight="1">
      <c r="A407" s="230"/>
      <c r="B407" s="230"/>
      <c r="C407" s="469" t="s">
        <v>710</v>
      </c>
      <c r="D407" s="97" t="s">
        <v>92</v>
      </c>
      <c r="E407" s="436">
        <v>1.48</v>
      </c>
      <c r="F407" s="247">
        <f>F400*E407</f>
        <v>98.0796</v>
      </c>
      <c r="G407" s="247"/>
      <c r="H407" s="83"/>
      <c r="I407" s="84"/>
      <c r="J407" s="83"/>
      <c r="K407" s="84"/>
      <c r="L407" s="83"/>
      <c r="M407" s="84"/>
      <c r="N407" s="84"/>
      <c r="O407" s="426"/>
    </row>
    <row r="408" spans="1:15" s="232" customFormat="1" ht="18" customHeight="1">
      <c r="A408" s="230"/>
      <c r="B408" s="230"/>
      <c r="C408" s="469" t="s">
        <v>711</v>
      </c>
      <c r="D408" s="97" t="s">
        <v>92</v>
      </c>
      <c r="E408" s="436">
        <v>0.65</v>
      </c>
      <c r="F408" s="247">
        <f>F400*E408</f>
        <v>43.0755</v>
      </c>
      <c r="G408" s="247"/>
      <c r="H408" s="83"/>
      <c r="I408" s="84"/>
      <c r="J408" s="83"/>
      <c r="K408" s="84"/>
      <c r="L408" s="83"/>
      <c r="M408" s="84"/>
      <c r="N408" s="84"/>
      <c r="O408" s="426"/>
    </row>
    <row r="409" spans="1:15" s="232" customFormat="1" ht="18" customHeight="1">
      <c r="A409" s="230"/>
      <c r="B409" s="230"/>
      <c r="C409" s="469" t="s">
        <v>712</v>
      </c>
      <c r="D409" s="97" t="s">
        <v>105</v>
      </c>
      <c r="E409" s="436">
        <f>80.95/100</f>
        <v>0.8095</v>
      </c>
      <c r="F409" s="247">
        <f>F400*E409</f>
        <v>53.645565</v>
      </c>
      <c r="G409" s="247"/>
      <c r="H409" s="83"/>
      <c r="I409" s="84"/>
      <c r="J409" s="83"/>
      <c r="K409" s="84"/>
      <c r="L409" s="83"/>
      <c r="M409" s="84"/>
      <c r="N409" s="84"/>
      <c r="O409" s="426"/>
    </row>
    <row r="410" spans="1:15" s="232" customFormat="1" ht="18" customHeight="1">
      <c r="A410" s="230"/>
      <c r="B410" s="230"/>
      <c r="C410" s="469" t="s">
        <v>713</v>
      </c>
      <c r="D410" s="97" t="s">
        <v>105</v>
      </c>
      <c r="E410" s="436">
        <f>66.67/100</f>
        <v>0.6667000000000001</v>
      </c>
      <c r="F410" s="247">
        <f>E410*F400</f>
        <v>44.182209</v>
      </c>
      <c r="G410" s="247"/>
      <c r="H410" s="83"/>
      <c r="I410" s="84"/>
      <c r="J410" s="83"/>
      <c r="K410" s="84"/>
      <c r="L410" s="83"/>
      <c r="M410" s="84"/>
      <c r="N410" s="84"/>
      <c r="O410" s="426"/>
    </row>
    <row r="411" spans="1:17" s="422" customFormat="1" ht="30">
      <c r="A411" s="423"/>
      <c r="B411" s="477"/>
      <c r="C411" s="469" t="s">
        <v>716</v>
      </c>
      <c r="D411" s="5" t="s">
        <v>86</v>
      </c>
      <c r="E411" s="437">
        <v>1</v>
      </c>
      <c r="F411" s="247">
        <f>E411*F400</f>
        <v>66.27</v>
      </c>
      <c r="G411" s="247"/>
      <c r="H411" s="83"/>
      <c r="I411" s="84"/>
      <c r="J411" s="83"/>
      <c r="K411" s="84"/>
      <c r="L411" s="83"/>
      <c r="M411" s="84"/>
      <c r="N411" s="84"/>
      <c r="O411" s="425"/>
      <c r="P411" s="421"/>
      <c r="Q411" s="421"/>
    </row>
    <row r="412" spans="1:17" s="422" customFormat="1" ht="18" customHeight="1">
      <c r="A412" s="423"/>
      <c r="B412" s="477"/>
      <c r="C412" s="469" t="s">
        <v>715</v>
      </c>
      <c r="D412" s="97" t="s">
        <v>92</v>
      </c>
      <c r="E412" s="438">
        <f>(129+2293)/100</f>
        <v>24.22</v>
      </c>
      <c r="F412" s="247">
        <f>E412*F400</f>
        <v>1605.0593999999999</v>
      </c>
      <c r="G412" s="247"/>
      <c r="H412" s="83"/>
      <c r="I412" s="84"/>
      <c r="J412" s="83"/>
      <c r="K412" s="84"/>
      <c r="L412" s="83"/>
      <c r="M412" s="84"/>
      <c r="N412" s="84"/>
      <c r="O412" s="425"/>
      <c r="P412" s="421"/>
      <c r="Q412" s="421"/>
    </row>
    <row r="413" spans="1:15" s="229" customFormat="1" ht="36" customHeight="1">
      <c r="A413" s="222">
        <f>A400+1</f>
        <v>45</v>
      </c>
      <c r="B413" s="223" t="s">
        <v>678</v>
      </c>
      <c r="C413" s="68" t="s">
        <v>755</v>
      </c>
      <c r="D413" s="69" t="s">
        <v>87</v>
      </c>
      <c r="E413" s="100"/>
      <c r="F413" s="239">
        <f>F387+F400</f>
        <v>1093.0400000000002</v>
      </c>
      <c r="G413" s="239"/>
      <c r="H413" s="83"/>
      <c r="I413" s="84"/>
      <c r="J413" s="83"/>
      <c r="K413" s="84"/>
      <c r="L413" s="83"/>
      <c r="M413" s="84"/>
      <c r="N413" s="84"/>
      <c r="O413" s="426"/>
    </row>
    <row r="414" spans="1:16" s="249" customFormat="1" ht="18" customHeight="1">
      <c r="A414" s="230"/>
      <c r="B414" s="230"/>
      <c r="C414" s="63" t="s">
        <v>61</v>
      </c>
      <c r="D414" s="5" t="s">
        <v>86</v>
      </c>
      <c r="E414" s="87">
        <v>1</v>
      </c>
      <c r="F414" s="224">
        <f>F413*E414</f>
        <v>1093.0400000000002</v>
      </c>
      <c r="G414" s="224"/>
      <c r="H414" s="83"/>
      <c r="I414" s="84"/>
      <c r="J414" s="83"/>
      <c r="K414" s="84"/>
      <c r="L414" s="83"/>
      <c r="M414" s="84"/>
      <c r="N414" s="84"/>
      <c r="O414" s="426"/>
      <c r="P414" s="232"/>
    </row>
    <row r="415" spans="1:15" s="232" customFormat="1" ht="18" customHeight="1">
      <c r="A415" s="230"/>
      <c r="B415" s="230"/>
      <c r="C415" s="128" t="s">
        <v>702</v>
      </c>
      <c r="D415" s="5" t="s">
        <v>138</v>
      </c>
      <c r="E415" s="87">
        <v>0.63</v>
      </c>
      <c r="F415" s="224">
        <f>F413*E415</f>
        <v>688.6152000000001</v>
      </c>
      <c r="G415" s="224"/>
      <c r="H415" s="83"/>
      <c r="I415" s="84"/>
      <c r="J415" s="83"/>
      <c r="K415" s="84"/>
      <c r="L415" s="83"/>
      <c r="M415" s="84"/>
      <c r="N415" s="84"/>
      <c r="O415" s="426"/>
    </row>
    <row r="416" spans="1:15" s="232" customFormat="1" ht="18" customHeight="1">
      <c r="A416" s="230"/>
      <c r="B416" s="230"/>
      <c r="C416" s="128" t="s">
        <v>703</v>
      </c>
      <c r="D416" s="5" t="s">
        <v>138</v>
      </c>
      <c r="E416" s="87">
        <v>0.92</v>
      </c>
      <c r="F416" s="224">
        <f>F413*E416</f>
        <v>1005.5968000000003</v>
      </c>
      <c r="G416" s="224"/>
      <c r="H416" s="83"/>
      <c r="I416" s="84"/>
      <c r="J416" s="83"/>
      <c r="K416" s="84"/>
      <c r="L416" s="83"/>
      <c r="M416" s="84"/>
      <c r="N416" s="84"/>
      <c r="O416" s="426"/>
    </row>
    <row r="417" spans="1:15" s="232" customFormat="1" ht="18" customHeight="1">
      <c r="A417" s="230"/>
      <c r="B417" s="230"/>
      <c r="C417" s="128" t="s">
        <v>705</v>
      </c>
      <c r="D417" s="97" t="s">
        <v>105</v>
      </c>
      <c r="E417" s="87">
        <v>1.23</v>
      </c>
      <c r="F417" s="224">
        <f>E417*F413</f>
        <v>1344.4392000000003</v>
      </c>
      <c r="G417" s="224"/>
      <c r="H417" s="83"/>
      <c r="I417" s="84"/>
      <c r="J417" s="83"/>
      <c r="K417" s="84"/>
      <c r="L417" s="83"/>
      <c r="M417" s="84"/>
      <c r="N417" s="84"/>
      <c r="O417" s="426"/>
    </row>
    <row r="418" spans="1:15" s="232" customFormat="1" ht="18" customHeight="1">
      <c r="A418" s="230"/>
      <c r="B418" s="222"/>
      <c r="C418" s="63" t="s">
        <v>77</v>
      </c>
      <c r="D418" s="5" t="s">
        <v>15</v>
      </c>
      <c r="E418" s="101">
        <v>0.018</v>
      </c>
      <c r="F418" s="231">
        <f>F413*E418</f>
        <v>19.67472</v>
      </c>
      <c r="G418" s="231"/>
      <c r="H418" s="83"/>
      <c r="I418" s="84"/>
      <c r="J418" s="83"/>
      <c r="K418" s="84"/>
      <c r="L418" s="83"/>
      <c r="M418" s="84"/>
      <c r="N418" s="84"/>
      <c r="O418" s="426"/>
    </row>
    <row r="419" spans="1:15" s="582" customFormat="1" ht="54" customHeight="1">
      <c r="A419" s="123">
        <f>A413+1</f>
        <v>46</v>
      </c>
      <c r="B419" s="94" t="s">
        <v>19</v>
      </c>
      <c r="C419" s="578" t="s">
        <v>808</v>
      </c>
      <c r="D419" s="576" t="s">
        <v>92</v>
      </c>
      <c r="E419" s="579"/>
      <c r="F419" s="580">
        <v>18</v>
      </c>
      <c r="G419" s="637"/>
      <c r="H419" s="566"/>
      <c r="I419" s="243"/>
      <c r="J419" s="566"/>
      <c r="K419" s="243"/>
      <c r="L419" s="243"/>
      <c r="M419" s="566"/>
      <c r="N419" s="243"/>
      <c r="O419" s="581"/>
    </row>
    <row r="420" spans="1:15" s="584" customFormat="1" ht="18" customHeight="1">
      <c r="A420" s="583"/>
      <c r="B420" s="145"/>
      <c r="C420" s="563" t="s">
        <v>61</v>
      </c>
      <c r="D420" s="123" t="str">
        <f>D419</f>
        <v>ცალი</v>
      </c>
      <c r="E420" s="564">
        <v>1</v>
      </c>
      <c r="F420" s="565">
        <f>F419*E420</f>
        <v>18</v>
      </c>
      <c r="G420" s="565"/>
      <c r="H420" s="566"/>
      <c r="I420" s="243"/>
      <c r="J420" s="241"/>
      <c r="K420" s="243"/>
      <c r="L420" s="243"/>
      <c r="M420" s="566"/>
      <c r="N420" s="566"/>
      <c r="O420" s="581"/>
    </row>
    <row r="421" spans="1:15" s="584" customFormat="1" ht="18" customHeight="1">
      <c r="A421" s="583"/>
      <c r="B421" s="145"/>
      <c r="C421" s="577" t="s">
        <v>807</v>
      </c>
      <c r="D421" s="123" t="str">
        <f>D419</f>
        <v>ცალი</v>
      </c>
      <c r="E421" s="564">
        <v>1</v>
      </c>
      <c r="F421" s="243">
        <f>F419*E421</f>
        <v>18</v>
      </c>
      <c r="G421" s="566"/>
      <c r="H421" s="566"/>
      <c r="I421" s="243"/>
      <c r="J421" s="566"/>
      <c r="K421" s="243"/>
      <c r="L421" s="243"/>
      <c r="M421" s="566"/>
      <c r="N421" s="566"/>
      <c r="O421" s="581"/>
    </row>
    <row r="422" spans="1:16" s="46" customFormat="1" ht="18" customHeight="1">
      <c r="A422" s="190"/>
      <c r="B422" s="191"/>
      <c r="C422" s="156" t="s">
        <v>146</v>
      </c>
      <c r="D422" s="112"/>
      <c r="E422" s="101"/>
      <c r="F422" s="42"/>
      <c r="G422" s="42"/>
      <c r="H422" s="42"/>
      <c r="I422" s="83"/>
      <c r="J422" s="84"/>
      <c r="K422" s="83"/>
      <c r="L422" s="84"/>
      <c r="M422" s="83"/>
      <c r="N422" s="83"/>
      <c r="O422" s="192"/>
      <c r="P422" s="189"/>
    </row>
    <row r="423" spans="1:15" s="61" customFormat="1" ht="39" customHeight="1">
      <c r="A423" s="5">
        <f>A419+1</f>
        <v>47</v>
      </c>
      <c r="B423" s="94" t="s">
        <v>19</v>
      </c>
      <c r="C423" s="68" t="s">
        <v>636</v>
      </c>
      <c r="D423" s="69" t="s">
        <v>87</v>
      </c>
      <c r="E423" s="101"/>
      <c r="F423" s="148">
        <f>2.3*1.2*33+0.7*0.95*6+1.7*1.2*11+1.2*0.8*11+4.15*1*11+4.3*1*11</f>
        <v>221.01999999999998</v>
      </c>
      <c r="G423" s="147"/>
      <c r="H423" s="88"/>
      <c r="I423" s="106"/>
      <c r="J423" s="88"/>
      <c r="K423" s="106"/>
      <c r="L423" s="106"/>
      <c r="M423" s="88"/>
      <c r="N423" s="106"/>
      <c r="O423" s="124"/>
    </row>
    <row r="424" spans="1:15" s="67" customFormat="1" ht="18" customHeight="1">
      <c r="A424" s="110"/>
      <c r="B424" s="145"/>
      <c r="C424" s="63" t="s">
        <v>61</v>
      </c>
      <c r="D424" s="5" t="s">
        <v>86</v>
      </c>
      <c r="E424" s="87">
        <v>1</v>
      </c>
      <c r="F424" s="43">
        <f>F423*E424</f>
        <v>221.01999999999998</v>
      </c>
      <c r="G424" s="43"/>
      <c r="H424" s="88"/>
      <c r="I424" s="106"/>
      <c r="J424" s="83"/>
      <c r="K424" s="106"/>
      <c r="L424" s="106"/>
      <c r="M424" s="88"/>
      <c r="N424" s="88"/>
      <c r="O424" s="124"/>
    </row>
    <row r="425" spans="1:15" s="67" customFormat="1" ht="33" customHeight="1">
      <c r="A425" s="110"/>
      <c r="B425" s="145"/>
      <c r="C425" s="128" t="s">
        <v>199</v>
      </c>
      <c r="D425" s="5" t="s">
        <v>86</v>
      </c>
      <c r="E425" s="87">
        <v>1</v>
      </c>
      <c r="F425" s="106">
        <f>F423*E425</f>
        <v>221.01999999999998</v>
      </c>
      <c r="G425" s="88"/>
      <c r="H425" s="88"/>
      <c r="I425" s="106"/>
      <c r="J425" s="88"/>
      <c r="K425" s="106"/>
      <c r="L425" s="106"/>
      <c r="M425" s="88"/>
      <c r="N425" s="88"/>
      <c r="O425" s="124"/>
    </row>
    <row r="426" spans="1:14" s="560" customFormat="1" ht="21" customHeight="1">
      <c r="A426" s="123">
        <f>A423+1</f>
        <v>48</v>
      </c>
      <c r="B426" s="557" t="s">
        <v>799</v>
      </c>
      <c r="C426" s="558" t="s">
        <v>802</v>
      </c>
      <c r="D426" s="576" t="s">
        <v>804</v>
      </c>
      <c r="E426" s="558"/>
      <c r="F426" s="559">
        <f>(1.3*33+1.3*11+1.3*11+4.3*11+4.45*11)*0.2</f>
        <v>33.550000000000004</v>
      </c>
      <c r="G426" s="638"/>
      <c r="H426" s="566"/>
      <c r="I426" s="243"/>
      <c r="J426" s="566"/>
      <c r="K426" s="243"/>
      <c r="L426" s="243"/>
      <c r="M426" s="566"/>
      <c r="N426" s="566"/>
    </row>
    <row r="427" spans="1:14" s="567" customFormat="1" ht="18" customHeight="1">
      <c r="A427" s="561"/>
      <c r="B427" s="562"/>
      <c r="C427" s="563" t="s">
        <v>61</v>
      </c>
      <c r="D427" s="123" t="s">
        <v>803</v>
      </c>
      <c r="E427" s="564">
        <v>1</v>
      </c>
      <c r="F427" s="565">
        <f>F426*E427</f>
        <v>33.550000000000004</v>
      </c>
      <c r="G427" s="565"/>
      <c r="H427" s="566"/>
      <c r="I427" s="243"/>
      <c r="J427" s="566"/>
      <c r="K427" s="243"/>
      <c r="L427" s="243"/>
      <c r="M427" s="566"/>
      <c r="N427" s="566"/>
    </row>
    <row r="428" spans="1:14" s="570" customFormat="1" ht="18" customHeight="1">
      <c r="A428" s="568"/>
      <c r="B428" s="569"/>
      <c r="C428" s="577" t="s">
        <v>139</v>
      </c>
      <c r="D428" s="123" t="s">
        <v>805</v>
      </c>
      <c r="E428" s="564">
        <f>(2)/100</f>
        <v>0.02</v>
      </c>
      <c r="F428" s="565">
        <f>F426*E428</f>
        <v>0.6710000000000002</v>
      </c>
      <c r="G428" s="565"/>
      <c r="H428" s="566"/>
      <c r="I428" s="243"/>
      <c r="J428" s="566"/>
      <c r="K428" s="243"/>
      <c r="L428" s="243"/>
      <c r="M428" s="566"/>
      <c r="N428" s="566"/>
    </row>
    <row r="429" spans="1:14" s="570" customFormat="1" ht="18" customHeight="1">
      <c r="A429" s="568"/>
      <c r="B429" s="244" t="s">
        <v>800</v>
      </c>
      <c r="C429" s="577" t="s">
        <v>94</v>
      </c>
      <c r="D429" s="123" t="s">
        <v>805</v>
      </c>
      <c r="E429" s="564">
        <v>1.21</v>
      </c>
      <c r="F429" s="565">
        <f>F428*E429</f>
        <v>0.8119100000000001</v>
      </c>
      <c r="G429" s="565"/>
      <c r="H429" s="566"/>
      <c r="I429" s="243"/>
      <c r="J429" s="566"/>
      <c r="K429" s="243"/>
      <c r="L429" s="243"/>
      <c r="M429" s="566"/>
      <c r="N429" s="566"/>
    </row>
    <row r="430" spans="1:14" s="570" customFormat="1" ht="18" customHeight="1">
      <c r="A430" s="568"/>
      <c r="B430" s="244" t="s">
        <v>801</v>
      </c>
      <c r="C430" s="577" t="s">
        <v>95</v>
      </c>
      <c r="D430" s="244" t="s">
        <v>81</v>
      </c>
      <c r="E430" s="564">
        <v>0.304</v>
      </c>
      <c r="F430" s="565">
        <f>E430*F428</f>
        <v>0.20398400000000005</v>
      </c>
      <c r="G430" s="565"/>
      <c r="H430" s="566"/>
      <c r="I430" s="243"/>
      <c r="J430" s="566"/>
      <c r="K430" s="243"/>
      <c r="L430" s="243"/>
      <c r="M430" s="566"/>
      <c r="N430" s="566"/>
    </row>
    <row r="431" spans="1:14" s="567" customFormat="1" ht="18" customHeight="1">
      <c r="A431" s="561"/>
      <c r="B431" s="562"/>
      <c r="C431" s="571" t="s">
        <v>806</v>
      </c>
      <c r="D431" s="123" t="s">
        <v>803</v>
      </c>
      <c r="E431" s="564">
        <f>(81+20)/100</f>
        <v>1.01</v>
      </c>
      <c r="F431" s="565">
        <f>E431*F426</f>
        <v>33.88550000000001</v>
      </c>
      <c r="G431" s="565"/>
      <c r="H431" s="566"/>
      <c r="I431" s="243"/>
      <c r="J431" s="566"/>
      <c r="K431" s="243"/>
      <c r="L431" s="243"/>
      <c r="M431" s="566"/>
      <c r="N431" s="566"/>
    </row>
    <row r="432" spans="1:16" s="574" customFormat="1" ht="18" customHeight="1">
      <c r="A432" s="572"/>
      <c r="B432" s="573"/>
      <c r="C432" s="563" t="s">
        <v>77</v>
      </c>
      <c r="D432" s="244" t="s">
        <v>15</v>
      </c>
      <c r="E432" s="564">
        <f>24/100</f>
        <v>0.24</v>
      </c>
      <c r="F432" s="565">
        <f>E432*F426</f>
        <v>8.052000000000001</v>
      </c>
      <c r="G432" s="565"/>
      <c r="H432" s="83"/>
      <c r="I432" s="243"/>
      <c r="J432" s="566"/>
      <c r="K432" s="243"/>
      <c r="L432" s="243"/>
      <c r="M432" s="566"/>
      <c r="N432" s="566"/>
      <c r="P432" s="575"/>
    </row>
    <row r="433" spans="1:15" s="61" customFormat="1" ht="39" customHeight="1">
      <c r="A433" s="5">
        <f>A426+1</f>
        <v>49</v>
      </c>
      <c r="B433" s="94" t="s">
        <v>19</v>
      </c>
      <c r="C433" s="68" t="s">
        <v>202</v>
      </c>
      <c r="D433" s="69" t="s">
        <v>87</v>
      </c>
      <c r="E433" s="101"/>
      <c r="F433" s="148">
        <f>2.9*1*11+2.9*1*7</f>
        <v>52.2</v>
      </c>
      <c r="G433" s="147"/>
      <c r="H433" s="88"/>
      <c r="I433" s="106"/>
      <c r="J433" s="88"/>
      <c r="K433" s="106"/>
      <c r="L433" s="106"/>
      <c r="M433" s="88"/>
      <c r="N433" s="106"/>
      <c r="O433" s="124"/>
    </row>
    <row r="434" spans="1:15" s="67" customFormat="1" ht="18" customHeight="1">
      <c r="A434" s="110"/>
      <c r="B434" s="145"/>
      <c r="C434" s="63" t="s">
        <v>61</v>
      </c>
      <c r="D434" s="5" t="s">
        <v>86</v>
      </c>
      <c r="E434" s="87">
        <v>1</v>
      </c>
      <c r="F434" s="43">
        <f>F433*E434</f>
        <v>52.2</v>
      </c>
      <c r="G434" s="43"/>
      <c r="H434" s="88"/>
      <c r="I434" s="106"/>
      <c r="J434" s="88"/>
      <c r="K434" s="106"/>
      <c r="L434" s="106"/>
      <c r="M434" s="88"/>
      <c r="N434" s="88"/>
      <c r="O434" s="124"/>
    </row>
    <row r="435" spans="1:15" s="67" customFormat="1" ht="18" customHeight="1">
      <c r="A435" s="110"/>
      <c r="B435" s="145"/>
      <c r="C435" s="128" t="s">
        <v>200</v>
      </c>
      <c r="D435" s="5" t="s">
        <v>86</v>
      </c>
      <c r="E435" s="87">
        <v>1</v>
      </c>
      <c r="F435" s="106">
        <f>F433*E435</f>
        <v>52.2</v>
      </c>
      <c r="G435" s="88"/>
      <c r="H435" s="88"/>
      <c r="I435" s="106"/>
      <c r="J435" s="88"/>
      <c r="K435" s="106"/>
      <c r="L435" s="106"/>
      <c r="M435" s="88"/>
      <c r="N435" s="88"/>
      <c r="O435" s="124"/>
    </row>
    <row r="436" spans="1:15" s="61" customFormat="1" ht="39" customHeight="1">
      <c r="A436" s="5">
        <f>A433+1</f>
        <v>50</v>
      </c>
      <c r="B436" s="94" t="s">
        <v>19</v>
      </c>
      <c r="C436" s="68" t="s">
        <v>637</v>
      </c>
      <c r="D436" s="69" t="s">
        <v>87</v>
      </c>
      <c r="E436" s="101"/>
      <c r="F436" s="148">
        <f>2.9*2*2+4.4*2.9*2+4*2.9*2+5.4*2.9*2+2.85*2.9*2+3*2.9*1+6.4*2.9*1+2.9*1*2+2*2.9*2</f>
        <v>152.82999999999998</v>
      </c>
      <c r="G436" s="147"/>
      <c r="H436" s="88"/>
      <c r="I436" s="106"/>
      <c r="J436" s="88"/>
      <c r="K436" s="106"/>
      <c r="L436" s="106"/>
      <c r="M436" s="88"/>
      <c r="N436" s="106"/>
      <c r="O436" s="124"/>
    </row>
    <row r="437" spans="1:15" s="67" customFormat="1" ht="18" customHeight="1">
      <c r="A437" s="110"/>
      <c r="B437" s="145"/>
      <c r="C437" s="63" t="s">
        <v>61</v>
      </c>
      <c r="D437" s="5" t="s">
        <v>86</v>
      </c>
      <c r="E437" s="87">
        <v>1</v>
      </c>
      <c r="F437" s="43">
        <f>F436*E437</f>
        <v>152.82999999999998</v>
      </c>
      <c r="G437" s="43"/>
      <c r="H437" s="88"/>
      <c r="I437" s="106"/>
      <c r="J437" s="83"/>
      <c r="K437" s="106"/>
      <c r="L437" s="106"/>
      <c r="M437" s="88"/>
      <c r="N437" s="88"/>
      <c r="O437" s="124"/>
    </row>
    <row r="438" spans="1:15" s="67" customFormat="1" ht="30">
      <c r="A438" s="110"/>
      <c r="B438" s="145"/>
      <c r="C438" s="128" t="s">
        <v>201</v>
      </c>
      <c r="D438" s="5" t="s">
        <v>86</v>
      </c>
      <c r="E438" s="87">
        <v>1</v>
      </c>
      <c r="F438" s="106">
        <f>F436*E438</f>
        <v>152.82999999999998</v>
      </c>
      <c r="G438" s="88"/>
      <c r="H438" s="88"/>
      <c r="I438" s="106"/>
      <c r="J438" s="88"/>
      <c r="K438" s="106"/>
      <c r="L438" s="106"/>
      <c r="M438" s="88"/>
      <c r="N438" s="88"/>
      <c r="O438" s="124"/>
    </row>
    <row r="439" spans="1:15" s="229" customFormat="1" ht="21" customHeight="1">
      <c r="A439" s="5">
        <f>A436+1</f>
        <v>51</v>
      </c>
      <c r="B439" s="223" t="s">
        <v>197</v>
      </c>
      <c r="C439" s="68" t="s">
        <v>638</v>
      </c>
      <c r="D439" s="69" t="s">
        <v>87</v>
      </c>
      <c r="E439" s="100"/>
      <c r="F439" s="148">
        <f>(0.95*18+1*4+0.95*15+1*7+0.85*6+0.85*6+1.8*3)*2.3</f>
        <v>133.28499999999997</v>
      </c>
      <c r="G439" s="147"/>
      <c r="H439" s="88"/>
      <c r="I439" s="106"/>
      <c r="J439" s="88"/>
      <c r="K439" s="106"/>
      <c r="L439" s="106"/>
      <c r="M439" s="88"/>
      <c r="N439" s="88"/>
      <c r="O439" s="240"/>
    </row>
    <row r="440" spans="1:14" s="232" customFormat="1" ht="18" customHeight="1">
      <c r="A440" s="230"/>
      <c r="B440" s="230"/>
      <c r="C440" s="63" t="s">
        <v>61</v>
      </c>
      <c r="D440" s="5" t="s">
        <v>86</v>
      </c>
      <c r="E440" s="87">
        <v>1</v>
      </c>
      <c r="F440" s="43">
        <f>F439*E440</f>
        <v>133.28499999999997</v>
      </c>
      <c r="G440" s="43"/>
      <c r="H440" s="88"/>
      <c r="I440" s="106"/>
      <c r="J440" s="88"/>
      <c r="K440" s="106"/>
      <c r="L440" s="106"/>
      <c r="M440" s="88"/>
      <c r="N440" s="88"/>
    </row>
    <row r="441" spans="1:14" s="232" customFormat="1" ht="18" customHeight="1">
      <c r="A441" s="5"/>
      <c r="B441" s="230"/>
      <c r="C441" s="128" t="s">
        <v>639</v>
      </c>
      <c r="D441" s="5" t="s">
        <v>86</v>
      </c>
      <c r="E441" s="87">
        <v>1</v>
      </c>
      <c r="F441" s="43">
        <f>F439*E441</f>
        <v>133.28499999999997</v>
      </c>
      <c r="G441" s="43"/>
      <c r="H441" s="88"/>
      <c r="I441" s="106"/>
      <c r="J441" s="88"/>
      <c r="K441" s="106"/>
      <c r="L441" s="106"/>
      <c r="M441" s="88"/>
      <c r="N441" s="88"/>
    </row>
    <row r="442" spans="1:14" s="232" customFormat="1" ht="18" customHeight="1">
      <c r="A442" s="5"/>
      <c r="B442" s="230"/>
      <c r="C442" s="128" t="s">
        <v>640</v>
      </c>
      <c r="D442" s="4" t="s">
        <v>92</v>
      </c>
      <c r="E442" s="87" t="s">
        <v>198</v>
      </c>
      <c r="F442" s="106">
        <f>18+4+15+7+6+6+3*2</f>
        <v>62</v>
      </c>
      <c r="G442" s="88"/>
      <c r="H442" s="88"/>
      <c r="I442" s="106"/>
      <c r="J442" s="88"/>
      <c r="K442" s="106"/>
      <c r="L442" s="106"/>
      <c r="M442" s="88"/>
      <c r="N442" s="88"/>
    </row>
    <row r="443" spans="1:14" s="232" customFormat="1" ht="18" customHeight="1">
      <c r="A443" s="5"/>
      <c r="B443" s="222"/>
      <c r="C443" s="63" t="s">
        <v>77</v>
      </c>
      <c r="D443" s="5" t="s">
        <v>15</v>
      </c>
      <c r="E443" s="87">
        <v>1</v>
      </c>
      <c r="F443" s="43">
        <f>F439*E443</f>
        <v>133.28499999999997</v>
      </c>
      <c r="G443" s="43"/>
      <c r="H443" s="83"/>
      <c r="I443" s="106"/>
      <c r="J443" s="88"/>
      <c r="K443" s="106"/>
      <c r="L443" s="106"/>
      <c r="M443" s="88"/>
      <c r="N443" s="88"/>
    </row>
    <row r="444" spans="1:14" s="229" customFormat="1" ht="34.5" customHeight="1">
      <c r="A444" s="5">
        <f>A439+1</f>
        <v>52</v>
      </c>
      <c r="B444" s="223" t="s">
        <v>481</v>
      </c>
      <c r="C444" s="68" t="s">
        <v>641</v>
      </c>
      <c r="D444" s="69" t="s">
        <v>87</v>
      </c>
      <c r="E444" s="100"/>
      <c r="F444" s="148">
        <f>1*2.2+0.9*2.2</f>
        <v>4.180000000000001</v>
      </c>
      <c r="G444" s="147"/>
      <c r="H444" s="88"/>
      <c r="I444" s="106"/>
      <c r="J444" s="88"/>
      <c r="K444" s="106"/>
      <c r="L444" s="106"/>
      <c r="M444" s="88"/>
      <c r="N444" s="88"/>
    </row>
    <row r="445" spans="1:14" s="232" customFormat="1" ht="18" customHeight="1">
      <c r="A445" s="5"/>
      <c r="B445" s="230"/>
      <c r="C445" s="63" t="s">
        <v>61</v>
      </c>
      <c r="D445" s="5" t="s">
        <v>86</v>
      </c>
      <c r="E445" s="87">
        <v>1</v>
      </c>
      <c r="F445" s="106">
        <f>F444*E445</f>
        <v>4.180000000000001</v>
      </c>
      <c r="G445" s="88"/>
      <c r="H445" s="88"/>
      <c r="I445" s="106"/>
      <c r="J445" s="88"/>
      <c r="K445" s="106"/>
      <c r="L445" s="106"/>
      <c r="M445" s="88"/>
      <c r="N445" s="88"/>
    </row>
    <row r="446" spans="1:14" s="232" customFormat="1" ht="18" customHeight="1">
      <c r="A446" s="5"/>
      <c r="B446" s="230"/>
      <c r="C446" s="128" t="s">
        <v>629</v>
      </c>
      <c r="D446" s="5" t="s">
        <v>86</v>
      </c>
      <c r="E446" s="87">
        <v>1</v>
      </c>
      <c r="F446" s="106">
        <f>F444*E446</f>
        <v>4.180000000000001</v>
      </c>
      <c r="G446" s="88"/>
      <c r="H446" s="88"/>
      <c r="I446" s="106"/>
      <c r="J446" s="88"/>
      <c r="K446" s="106"/>
      <c r="L446" s="106"/>
      <c r="M446" s="88"/>
      <c r="N446" s="88"/>
    </row>
    <row r="447" spans="1:14" s="232" customFormat="1" ht="18" customHeight="1">
      <c r="A447" s="5"/>
      <c r="B447" s="230"/>
      <c r="C447" s="63" t="s">
        <v>77</v>
      </c>
      <c r="D447" s="5" t="s">
        <v>15</v>
      </c>
      <c r="E447" s="87">
        <f>5.4*0.01</f>
        <v>0.054000000000000006</v>
      </c>
      <c r="F447" s="106">
        <f>E447*F444</f>
        <v>0.22572000000000006</v>
      </c>
      <c r="G447" s="106"/>
      <c r="H447" s="83"/>
      <c r="I447" s="106"/>
      <c r="J447" s="88"/>
      <c r="K447" s="106"/>
      <c r="L447" s="106"/>
      <c r="M447" s="88"/>
      <c r="N447" s="88"/>
    </row>
    <row r="448" spans="1:15" s="61" customFormat="1" ht="39" customHeight="1">
      <c r="A448" s="5">
        <f>A444+1</f>
        <v>53</v>
      </c>
      <c r="B448" s="94" t="s">
        <v>19</v>
      </c>
      <c r="C448" s="68" t="s">
        <v>662</v>
      </c>
      <c r="D448" s="69" t="s">
        <v>87</v>
      </c>
      <c r="E448" s="101"/>
      <c r="F448" s="148">
        <f>1.2*0.8*3</f>
        <v>2.88</v>
      </c>
      <c r="G448" s="147"/>
      <c r="H448" s="88"/>
      <c r="I448" s="106"/>
      <c r="J448" s="88"/>
      <c r="K448" s="106"/>
      <c r="L448" s="106"/>
      <c r="M448" s="88"/>
      <c r="N448" s="106"/>
      <c r="O448" s="124"/>
    </row>
    <row r="449" spans="1:15" s="67" customFormat="1" ht="18" customHeight="1">
      <c r="A449" s="110"/>
      <c r="B449" s="145"/>
      <c r="C449" s="63" t="s">
        <v>61</v>
      </c>
      <c r="D449" s="5" t="s">
        <v>86</v>
      </c>
      <c r="E449" s="87">
        <v>1</v>
      </c>
      <c r="F449" s="43">
        <f>F448*E449</f>
        <v>2.88</v>
      </c>
      <c r="G449" s="43"/>
      <c r="H449" s="88"/>
      <c r="I449" s="106"/>
      <c r="J449" s="83"/>
      <c r="K449" s="106"/>
      <c r="L449" s="106"/>
      <c r="M449" s="88"/>
      <c r="N449" s="88"/>
      <c r="O449" s="124"/>
    </row>
    <row r="450" spans="1:15" s="67" customFormat="1" ht="18" customHeight="1">
      <c r="A450" s="110"/>
      <c r="B450" s="145"/>
      <c r="C450" s="128" t="s">
        <v>663</v>
      </c>
      <c r="D450" s="5" t="s">
        <v>86</v>
      </c>
      <c r="E450" s="87">
        <v>1</v>
      </c>
      <c r="F450" s="106">
        <f>F448*E450</f>
        <v>2.88</v>
      </c>
      <c r="G450" s="88"/>
      <c r="H450" s="88"/>
      <c r="I450" s="106"/>
      <c r="J450" s="88"/>
      <c r="K450" s="106"/>
      <c r="L450" s="106"/>
      <c r="M450" s="88"/>
      <c r="N450" s="88"/>
      <c r="O450" s="124"/>
    </row>
    <row r="451" spans="1:15" s="61" customFormat="1" ht="39" customHeight="1">
      <c r="A451" s="5">
        <f>A448+1</f>
        <v>54</v>
      </c>
      <c r="B451" s="94" t="s">
        <v>19</v>
      </c>
      <c r="C451" s="68" t="s">
        <v>759</v>
      </c>
      <c r="D451" s="69" t="s">
        <v>87</v>
      </c>
      <c r="E451" s="101"/>
      <c r="F451" s="148">
        <f>6*5*1.7+5*6*1.75+13*6*1.05</f>
        <v>185.4</v>
      </c>
      <c r="G451" s="147"/>
      <c r="H451" s="88"/>
      <c r="I451" s="106"/>
      <c r="J451" s="88"/>
      <c r="K451" s="106"/>
      <c r="L451" s="106"/>
      <c r="M451" s="88"/>
      <c r="N451" s="106"/>
      <c r="O451" s="124"/>
    </row>
    <row r="452" spans="1:15" s="67" customFormat="1" ht="18" customHeight="1">
      <c r="A452" s="110"/>
      <c r="B452" s="145"/>
      <c r="C452" s="63" t="s">
        <v>61</v>
      </c>
      <c r="D452" s="5" t="s">
        <v>86</v>
      </c>
      <c r="E452" s="87">
        <v>1</v>
      </c>
      <c r="F452" s="43">
        <f>F451*E452</f>
        <v>185.4</v>
      </c>
      <c r="G452" s="43"/>
      <c r="H452" s="88"/>
      <c r="I452" s="106"/>
      <c r="J452" s="83"/>
      <c r="K452" s="106"/>
      <c r="L452" s="106"/>
      <c r="M452" s="88"/>
      <c r="N452" s="88"/>
      <c r="O452" s="124"/>
    </row>
    <row r="453" spans="1:15" s="67" customFormat="1" ht="18" customHeight="1">
      <c r="A453" s="110"/>
      <c r="B453" s="145"/>
      <c r="C453" s="128" t="s">
        <v>758</v>
      </c>
      <c r="D453" s="5" t="s">
        <v>86</v>
      </c>
      <c r="E453" s="87">
        <v>1</v>
      </c>
      <c r="F453" s="106">
        <f>F451*E453</f>
        <v>185.4</v>
      </c>
      <c r="G453" s="88"/>
      <c r="H453" s="88"/>
      <c r="I453" s="106"/>
      <c r="J453" s="88"/>
      <c r="K453" s="106"/>
      <c r="L453" s="106"/>
      <c r="M453" s="88"/>
      <c r="N453" s="88"/>
      <c r="O453" s="124"/>
    </row>
    <row r="454" spans="1:14" s="229" customFormat="1" ht="34.5" customHeight="1">
      <c r="A454" s="5">
        <f>A451+1</f>
        <v>55</v>
      </c>
      <c r="B454" s="223" t="s">
        <v>481</v>
      </c>
      <c r="C454" s="68" t="s">
        <v>664</v>
      </c>
      <c r="D454" s="69" t="s">
        <v>87</v>
      </c>
      <c r="E454" s="100"/>
      <c r="F454" s="148">
        <f>1*2.2*2</f>
        <v>4.4</v>
      </c>
      <c r="G454" s="147"/>
      <c r="H454" s="88"/>
      <c r="I454" s="106"/>
      <c r="J454" s="88"/>
      <c r="K454" s="106"/>
      <c r="L454" s="106"/>
      <c r="M454" s="88"/>
      <c r="N454" s="88"/>
    </row>
    <row r="455" spans="1:14" s="232" customFormat="1" ht="18" customHeight="1">
      <c r="A455" s="5"/>
      <c r="B455" s="230"/>
      <c r="C455" s="63" t="s">
        <v>61</v>
      </c>
      <c r="D455" s="5" t="s">
        <v>86</v>
      </c>
      <c r="E455" s="87">
        <v>1</v>
      </c>
      <c r="F455" s="106">
        <f>F454*E455</f>
        <v>4.4</v>
      </c>
      <c r="G455" s="88"/>
      <c r="H455" s="88"/>
      <c r="I455" s="106"/>
      <c r="J455" s="88"/>
      <c r="K455" s="106"/>
      <c r="L455" s="106"/>
      <c r="M455" s="88"/>
      <c r="N455" s="88"/>
    </row>
    <row r="456" spans="1:14" s="232" customFormat="1" ht="18" customHeight="1">
      <c r="A456" s="5"/>
      <c r="B456" s="230"/>
      <c r="C456" s="128" t="s">
        <v>629</v>
      </c>
      <c r="D456" s="5" t="s">
        <v>86</v>
      </c>
      <c r="E456" s="87">
        <v>1</v>
      </c>
      <c r="F456" s="106">
        <f>F454*E456</f>
        <v>4.4</v>
      </c>
      <c r="G456" s="88"/>
      <c r="H456" s="88"/>
      <c r="I456" s="106"/>
      <c r="J456" s="88"/>
      <c r="K456" s="106"/>
      <c r="L456" s="106"/>
      <c r="M456" s="88"/>
      <c r="N456" s="88"/>
    </row>
    <row r="457" spans="1:14" s="232" customFormat="1" ht="18" customHeight="1">
      <c r="A457" s="5"/>
      <c r="B457" s="230"/>
      <c r="C457" s="63" t="s">
        <v>77</v>
      </c>
      <c r="D457" s="5" t="s">
        <v>15</v>
      </c>
      <c r="E457" s="87">
        <f>5.4*0.01</f>
        <v>0.054000000000000006</v>
      </c>
      <c r="F457" s="106">
        <f>E457*F454</f>
        <v>0.23760000000000003</v>
      </c>
      <c r="G457" s="106"/>
      <c r="H457" s="83"/>
      <c r="I457" s="106"/>
      <c r="J457" s="88"/>
      <c r="K457" s="106"/>
      <c r="L457" s="106"/>
      <c r="M457" s="88"/>
      <c r="N457" s="88"/>
    </row>
    <row r="458" spans="1:14" s="229" customFormat="1" ht="54" customHeight="1">
      <c r="A458" s="5">
        <f>A454+1</f>
        <v>56</v>
      </c>
      <c r="B458" s="223" t="s">
        <v>208</v>
      </c>
      <c r="C458" s="68" t="s">
        <v>654</v>
      </c>
      <c r="D458" s="69" t="s">
        <v>87</v>
      </c>
      <c r="E458" s="100"/>
      <c r="F458" s="148">
        <f>F444*2+F454*2</f>
        <v>17.160000000000004</v>
      </c>
      <c r="G458" s="147"/>
      <c r="H458" s="88"/>
      <c r="I458" s="106"/>
      <c r="J458" s="88"/>
      <c r="K458" s="106"/>
      <c r="L458" s="106"/>
      <c r="M458" s="88"/>
      <c r="N458" s="88"/>
    </row>
    <row r="459" spans="1:14" s="232" customFormat="1" ht="18" customHeight="1">
      <c r="A459" s="5"/>
      <c r="B459" s="230"/>
      <c r="C459" s="63" t="s">
        <v>61</v>
      </c>
      <c r="D459" s="5" t="s">
        <v>86</v>
      </c>
      <c r="E459" s="87">
        <v>1</v>
      </c>
      <c r="F459" s="194">
        <f>F458*E459</f>
        <v>17.160000000000004</v>
      </c>
      <c r="G459" s="43"/>
      <c r="H459" s="88"/>
      <c r="I459" s="106"/>
      <c r="J459" s="88"/>
      <c r="K459" s="106"/>
      <c r="L459" s="106"/>
      <c r="M459" s="88"/>
      <c r="N459" s="88"/>
    </row>
    <row r="460" spans="1:14" s="249" customFormat="1" ht="18" customHeight="1">
      <c r="A460" s="5"/>
      <c r="B460" s="222"/>
      <c r="C460" s="144" t="s">
        <v>142</v>
      </c>
      <c r="D460" s="4" t="s">
        <v>138</v>
      </c>
      <c r="E460" s="107">
        <f>(24.4+0.2)*0.01</f>
        <v>0.246</v>
      </c>
      <c r="F460" s="106">
        <f>E460*F458</f>
        <v>4.221360000000001</v>
      </c>
      <c r="G460" s="88"/>
      <c r="H460" s="88"/>
      <c r="I460" s="106"/>
      <c r="J460" s="88"/>
      <c r="K460" s="106"/>
      <c r="L460" s="106"/>
      <c r="M460" s="88"/>
      <c r="N460" s="88"/>
    </row>
    <row r="461" spans="1:14" s="249" customFormat="1" ht="18" customHeight="1">
      <c r="A461" s="5"/>
      <c r="B461" s="222"/>
      <c r="C461" s="144" t="s">
        <v>143</v>
      </c>
      <c r="D461" s="4" t="s">
        <v>138</v>
      </c>
      <c r="E461" s="107">
        <v>0.027</v>
      </c>
      <c r="F461" s="106">
        <f>E461*F458</f>
        <v>0.4633200000000001</v>
      </c>
      <c r="G461" s="88"/>
      <c r="H461" s="88"/>
      <c r="I461" s="106"/>
      <c r="J461" s="88"/>
      <c r="K461" s="106"/>
      <c r="L461" s="106"/>
      <c r="M461" s="88"/>
      <c r="N461" s="88"/>
    </row>
    <row r="462" spans="1:14" s="232" customFormat="1" ht="18" customHeight="1">
      <c r="A462" s="5"/>
      <c r="B462" s="222"/>
      <c r="C462" s="63" t="s">
        <v>77</v>
      </c>
      <c r="D462" s="5" t="s">
        <v>15</v>
      </c>
      <c r="E462" s="101">
        <v>0.0019</v>
      </c>
      <c r="F462" s="88">
        <f>F458*E462</f>
        <v>0.03260400000000001</v>
      </c>
      <c r="G462" s="88"/>
      <c r="H462" s="83"/>
      <c r="I462" s="106"/>
      <c r="J462" s="88"/>
      <c r="K462" s="106"/>
      <c r="L462" s="106"/>
      <c r="M462" s="88"/>
      <c r="N462" s="88"/>
    </row>
    <row r="463" spans="1:15" s="46" customFormat="1" ht="18" customHeight="1">
      <c r="A463" s="195"/>
      <c r="B463" s="196"/>
      <c r="C463" s="157" t="s">
        <v>99</v>
      </c>
      <c r="D463" s="111"/>
      <c r="E463" s="101"/>
      <c r="F463" s="42"/>
      <c r="G463" s="42"/>
      <c r="H463" s="83"/>
      <c r="I463" s="84"/>
      <c r="J463" s="83"/>
      <c r="K463" s="84"/>
      <c r="L463" s="83"/>
      <c r="M463" s="84"/>
      <c r="N463" s="84"/>
      <c r="O463" s="45"/>
    </row>
    <row r="464" spans="1:14" s="163" customFormat="1" ht="36" customHeight="1">
      <c r="A464" s="179">
        <f>A458+1</f>
        <v>57</v>
      </c>
      <c r="B464" s="181" t="s">
        <v>34</v>
      </c>
      <c r="C464" s="158" t="s">
        <v>657</v>
      </c>
      <c r="D464" s="69" t="s">
        <v>87</v>
      </c>
      <c r="E464" s="101"/>
      <c r="F464" s="148">
        <f>214*4.4-F436</f>
        <v>788.77</v>
      </c>
      <c r="G464" s="148"/>
      <c r="H464" s="83"/>
      <c r="I464" s="84"/>
      <c r="J464" s="83"/>
      <c r="K464" s="84"/>
      <c r="L464" s="83"/>
      <c r="M464" s="84"/>
      <c r="N464" s="84"/>
    </row>
    <row r="465" spans="1:14" s="193" customFormat="1" ht="18" customHeight="1">
      <c r="A465" s="179"/>
      <c r="B465" s="123"/>
      <c r="C465" s="63" t="s">
        <v>61</v>
      </c>
      <c r="D465" s="5" t="s">
        <v>86</v>
      </c>
      <c r="E465" s="87">
        <v>1</v>
      </c>
      <c r="F465" s="106">
        <f>F464*E465</f>
        <v>788.77</v>
      </c>
      <c r="G465" s="106"/>
      <c r="H465" s="83"/>
      <c r="I465" s="84"/>
      <c r="J465" s="83"/>
      <c r="K465" s="84"/>
      <c r="L465" s="83"/>
      <c r="M465" s="84"/>
      <c r="N465" s="84"/>
    </row>
    <row r="466" spans="1:14" s="193" customFormat="1" ht="18" customHeight="1">
      <c r="A466" s="179"/>
      <c r="B466" s="181"/>
      <c r="C466" s="128" t="s">
        <v>93</v>
      </c>
      <c r="D466" s="5" t="s">
        <v>74</v>
      </c>
      <c r="E466" s="101">
        <f>2.68/100</f>
        <v>0.0268</v>
      </c>
      <c r="F466" s="106">
        <f>F464*E466</f>
        <v>21.139036</v>
      </c>
      <c r="G466" s="106"/>
      <c r="H466" s="83"/>
      <c r="I466" s="84"/>
      <c r="J466" s="83"/>
      <c r="K466" s="84"/>
      <c r="L466" s="83"/>
      <c r="M466" s="84"/>
      <c r="N466" s="84"/>
    </row>
    <row r="467" spans="1:14" s="143" customFormat="1" ht="18" customHeight="1">
      <c r="A467" s="5"/>
      <c r="B467" s="123"/>
      <c r="C467" s="128" t="s">
        <v>94</v>
      </c>
      <c r="D467" s="5" t="s">
        <v>74</v>
      </c>
      <c r="E467" s="87">
        <v>1.16</v>
      </c>
      <c r="F467" s="88">
        <f>F466*E467</f>
        <v>24.52128176</v>
      </c>
      <c r="G467" s="88"/>
      <c r="H467" s="83"/>
      <c r="I467" s="84"/>
      <c r="J467" s="83"/>
      <c r="K467" s="84"/>
      <c r="L467" s="83"/>
      <c r="M467" s="84"/>
      <c r="N467" s="84"/>
    </row>
    <row r="468" spans="1:14" s="143" customFormat="1" ht="18" customHeight="1">
      <c r="A468" s="5"/>
      <c r="B468" s="123"/>
      <c r="C468" s="128" t="s">
        <v>95</v>
      </c>
      <c r="D468" s="5" t="s">
        <v>81</v>
      </c>
      <c r="E468" s="101">
        <v>0.416</v>
      </c>
      <c r="F468" s="88">
        <f>E468*F466</f>
        <v>8.793838976</v>
      </c>
      <c r="G468" s="88"/>
      <c r="H468" s="83"/>
      <c r="I468" s="84"/>
      <c r="J468" s="83"/>
      <c r="K468" s="84"/>
      <c r="L468" s="83"/>
      <c r="M468" s="84"/>
      <c r="N468" s="84"/>
    </row>
    <row r="469" spans="1:15" s="61" customFormat="1" ht="39" customHeight="1">
      <c r="A469" s="5">
        <f>A464+1</f>
        <v>58</v>
      </c>
      <c r="B469" s="94" t="s">
        <v>32</v>
      </c>
      <c r="C469" s="68" t="s">
        <v>660</v>
      </c>
      <c r="D469" s="69" t="s">
        <v>87</v>
      </c>
      <c r="E469" s="101"/>
      <c r="F469" s="148">
        <f>F464</f>
        <v>788.77</v>
      </c>
      <c r="G469" s="148"/>
      <c r="H469" s="83"/>
      <c r="I469" s="84"/>
      <c r="J469" s="83"/>
      <c r="K469" s="84"/>
      <c r="L469" s="83"/>
      <c r="M469" s="84"/>
      <c r="N469" s="84"/>
      <c r="O469" s="124"/>
    </row>
    <row r="470" spans="1:15" s="67" customFormat="1" ht="18" customHeight="1">
      <c r="A470" s="110"/>
      <c r="B470" s="145"/>
      <c r="C470" s="63" t="s">
        <v>61</v>
      </c>
      <c r="D470" s="5" t="s">
        <v>86</v>
      </c>
      <c r="E470" s="87">
        <v>1</v>
      </c>
      <c r="F470" s="88">
        <f>F469*E470</f>
        <v>788.77</v>
      </c>
      <c r="G470" s="88"/>
      <c r="H470" s="83"/>
      <c r="I470" s="84"/>
      <c r="J470" s="83"/>
      <c r="K470" s="84"/>
      <c r="L470" s="83"/>
      <c r="M470" s="84"/>
      <c r="N470" s="84"/>
      <c r="O470" s="124"/>
    </row>
    <row r="471" spans="1:15" s="67" customFormat="1" ht="18" customHeight="1">
      <c r="A471" s="110"/>
      <c r="B471" s="145"/>
      <c r="C471" s="128" t="s">
        <v>54</v>
      </c>
      <c r="D471" s="5" t="s">
        <v>86</v>
      </c>
      <c r="E471" s="87">
        <v>1</v>
      </c>
      <c r="F471" s="88">
        <f>F470*E471</f>
        <v>788.77</v>
      </c>
      <c r="G471" s="88"/>
      <c r="H471" s="83"/>
      <c r="I471" s="84"/>
      <c r="J471" s="83"/>
      <c r="K471" s="84"/>
      <c r="L471" s="83"/>
      <c r="M471" s="84"/>
      <c r="N471" s="84"/>
      <c r="O471" s="124"/>
    </row>
    <row r="472" spans="1:15" s="61" customFormat="1" ht="54" customHeight="1">
      <c r="A472" s="5">
        <f>A469+1</f>
        <v>59</v>
      </c>
      <c r="B472" s="94" t="s">
        <v>32</v>
      </c>
      <c r="C472" s="68" t="s">
        <v>661</v>
      </c>
      <c r="D472" s="69" t="s">
        <v>87</v>
      </c>
      <c r="E472" s="101"/>
      <c r="F472" s="148">
        <f>F469</f>
        <v>788.77</v>
      </c>
      <c r="G472" s="148"/>
      <c r="H472" s="83"/>
      <c r="I472" s="84"/>
      <c r="J472" s="83"/>
      <c r="K472" s="84"/>
      <c r="L472" s="83"/>
      <c r="M472" s="84"/>
      <c r="N472" s="84"/>
      <c r="O472" s="124"/>
    </row>
    <row r="473" spans="1:15" s="67" customFormat="1" ht="18" customHeight="1">
      <c r="A473" s="110"/>
      <c r="B473" s="145"/>
      <c r="C473" s="63" t="s">
        <v>61</v>
      </c>
      <c r="D473" s="5" t="s">
        <v>86</v>
      </c>
      <c r="E473" s="87">
        <v>1</v>
      </c>
      <c r="F473" s="88">
        <f>F472*E473</f>
        <v>788.77</v>
      </c>
      <c r="G473" s="88"/>
      <c r="H473" s="83"/>
      <c r="I473" s="84"/>
      <c r="J473" s="83"/>
      <c r="K473" s="84"/>
      <c r="L473" s="83"/>
      <c r="M473" s="84"/>
      <c r="N473" s="84"/>
      <c r="O473" s="124"/>
    </row>
    <row r="474" spans="1:15" s="67" customFormat="1" ht="18" customHeight="1">
      <c r="A474" s="110"/>
      <c r="B474" s="145"/>
      <c r="C474" s="128" t="s">
        <v>144</v>
      </c>
      <c r="D474" s="4" t="s">
        <v>138</v>
      </c>
      <c r="E474" s="101">
        <f>59*0.01</f>
        <v>0.59</v>
      </c>
      <c r="F474" s="88">
        <f>E474*F472</f>
        <v>465.37429999999995</v>
      </c>
      <c r="G474" s="88"/>
      <c r="H474" s="83"/>
      <c r="I474" s="84"/>
      <c r="J474" s="83"/>
      <c r="K474" s="84"/>
      <c r="L474" s="83"/>
      <c r="M474" s="84"/>
      <c r="N474" s="84"/>
      <c r="O474" s="124"/>
    </row>
    <row r="475" spans="1:15" s="67" customFormat="1" ht="18" customHeight="1">
      <c r="A475" s="110"/>
      <c r="B475" s="145"/>
      <c r="C475" s="128" t="s">
        <v>145</v>
      </c>
      <c r="D475" s="4" t="s">
        <v>138</v>
      </c>
      <c r="E475" s="101">
        <f>15*0.01</f>
        <v>0.15</v>
      </c>
      <c r="F475" s="88">
        <f>E475*F472</f>
        <v>118.31549999999999</v>
      </c>
      <c r="G475" s="88"/>
      <c r="H475" s="83"/>
      <c r="I475" s="84"/>
      <c r="J475" s="83"/>
      <c r="K475" s="84"/>
      <c r="L475" s="83"/>
      <c r="M475" s="84"/>
      <c r="N475" s="84"/>
      <c r="O475" s="124"/>
    </row>
    <row r="476" spans="1:14" ht="18" customHeight="1">
      <c r="A476" s="182"/>
      <c r="B476" s="145"/>
      <c r="C476" s="63" t="s">
        <v>77</v>
      </c>
      <c r="D476" s="5" t="s">
        <v>15</v>
      </c>
      <c r="E476" s="101">
        <f>0.34/100</f>
        <v>0.0034000000000000002</v>
      </c>
      <c r="F476" s="106">
        <f>E476*F472</f>
        <v>2.6818180000000003</v>
      </c>
      <c r="G476" s="106"/>
      <c r="H476" s="83"/>
      <c r="I476" s="84"/>
      <c r="J476" s="83"/>
      <c r="K476" s="84"/>
      <c r="L476" s="83"/>
      <c r="M476" s="84"/>
      <c r="N476" s="84"/>
    </row>
    <row r="477" spans="1:14" s="163" customFormat="1" ht="36" customHeight="1">
      <c r="A477" s="179">
        <f>A472+1</f>
        <v>60</v>
      </c>
      <c r="B477" s="181" t="s">
        <v>34</v>
      </c>
      <c r="C477" s="158" t="s">
        <v>656</v>
      </c>
      <c r="D477" s="69" t="s">
        <v>87</v>
      </c>
      <c r="E477" s="101"/>
      <c r="F477" s="148">
        <f>(7+5)*2*3.3</f>
        <v>79.19999999999999</v>
      </c>
      <c r="G477" s="148"/>
      <c r="H477" s="83"/>
      <c r="I477" s="84"/>
      <c r="J477" s="83"/>
      <c r="K477" s="84"/>
      <c r="L477" s="83"/>
      <c r="M477" s="84"/>
      <c r="N477" s="84"/>
    </row>
    <row r="478" spans="1:14" s="193" customFormat="1" ht="18" customHeight="1">
      <c r="A478" s="179"/>
      <c r="B478" s="123"/>
      <c r="C478" s="63" t="s">
        <v>61</v>
      </c>
      <c r="D478" s="5" t="s">
        <v>86</v>
      </c>
      <c r="E478" s="87">
        <v>1</v>
      </c>
      <c r="F478" s="106">
        <f>F477*E478</f>
        <v>79.19999999999999</v>
      </c>
      <c r="G478" s="106"/>
      <c r="H478" s="83"/>
      <c r="I478" s="84"/>
      <c r="J478" s="83"/>
      <c r="K478" s="84"/>
      <c r="L478" s="83"/>
      <c r="M478" s="84"/>
      <c r="N478" s="84"/>
    </row>
    <row r="479" spans="1:14" s="193" customFormat="1" ht="18" customHeight="1">
      <c r="A479" s="179"/>
      <c r="B479" s="181"/>
      <c r="C479" s="128" t="s">
        <v>93</v>
      </c>
      <c r="D479" s="5" t="s">
        <v>74</v>
      </c>
      <c r="E479" s="101">
        <f>2.68/100</f>
        <v>0.0268</v>
      </c>
      <c r="F479" s="106">
        <f>F477*E479</f>
        <v>2.1225599999999996</v>
      </c>
      <c r="G479" s="106"/>
      <c r="H479" s="83"/>
      <c r="I479" s="84"/>
      <c r="J479" s="83"/>
      <c r="K479" s="84"/>
      <c r="L479" s="83"/>
      <c r="M479" s="84"/>
      <c r="N479" s="84"/>
    </row>
    <row r="480" spans="1:14" s="143" customFormat="1" ht="18" customHeight="1">
      <c r="A480" s="5"/>
      <c r="B480" s="123"/>
      <c r="C480" s="128" t="s">
        <v>94</v>
      </c>
      <c r="D480" s="5" t="s">
        <v>74</v>
      </c>
      <c r="E480" s="87">
        <v>1.16</v>
      </c>
      <c r="F480" s="88">
        <f>F479*E480</f>
        <v>2.4621695999999993</v>
      </c>
      <c r="G480" s="88"/>
      <c r="H480" s="83"/>
      <c r="I480" s="84"/>
      <c r="J480" s="83"/>
      <c r="K480" s="84"/>
      <c r="L480" s="83"/>
      <c r="M480" s="84"/>
      <c r="N480" s="84"/>
    </row>
    <row r="481" spans="1:14" s="143" customFormat="1" ht="18" customHeight="1">
      <c r="A481" s="5"/>
      <c r="B481" s="123"/>
      <c r="C481" s="128" t="s">
        <v>95</v>
      </c>
      <c r="D481" s="5" t="s">
        <v>81</v>
      </c>
      <c r="E481" s="101">
        <v>0.416</v>
      </c>
      <c r="F481" s="88">
        <f>E481*F479</f>
        <v>0.8829849599999998</v>
      </c>
      <c r="G481" s="88"/>
      <c r="H481" s="83"/>
      <c r="I481" s="84"/>
      <c r="J481" s="83"/>
      <c r="K481" s="84"/>
      <c r="L481" s="83"/>
      <c r="M481" s="84"/>
      <c r="N481" s="84"/>
    </row>
    <row r="482" spans="1:15" s="61" customFormat="1" ht="39" customHeight="1">
      <c r="A482" s="5">
        <f>A477+1</f>
        <v>61</v>
      </c>
      <c r="B482" s="94" t="s">
        <v>32</v>
      </c>
      <c r="C482" s="68" t="s">
        <v>658</v>
      </c>
      <c r="D482" s="69" t="s">
        <v>87</v>
      </c>
      <c r="E482" s="101"/>
      <c r="F482" s="148">
        <f>F477</f>
        <v>79.19999999999999</v>
      </c>
      <c r="G482" s="148"/>
      <c r="H482" s="83"/>
      <c r="I482" s="84"/>
      <c r="J482" s="83"/>
      <c r="K482" s="84"/>
      <c r="L482" s="83"/>
      <c r="M482" s="84"/>
      <c r="N482" s="84"/>
      <c r="O482" s="124"/>
    </row>
    <row r="483" spans="1:15" s="67" customFormat="1" ht="18" customHeight="1">
      <c r="A483" s="110"/>
      <c r="B483" s="145"/>
      <c r="C483" s="63" t="s">
        <v>61</v>
      </c>
      <c r="D483" s="5" t="s">
        <v>86</v>
      </c>
      <c r="E483" s="87">
        <v>1</v>
      </c>
      <c r="F483" s="88">
        <f>F482*E483</f>
        <v>79.19999999999999</v>
      </c>
      <c r="G483" s="88"/>
      <c r="H483" s="83"/>
      <c r="I483" s="84"/>
      <c r="J483" s="83"/>
      <c r="K483" s="84"/>
      <c r="L483" s="83"/>
      <c r="M483" s="84"/>
      <c r="N483" s="84"/>
      <c r="O483" s="124"/>
    </row>
    <row r="484" spans="1:15" s="67" customFormat="1" ht="18" customHeight="1">
      <c r="A484" s="110"/>
      <c r="B484" s="145"/>
      <c r="C484" s="128" t="s">
        <v>54</v>
      </c>
      <c r="D484" s="5" t="s">
        <v>86</v>
      </c>
      <c r="E484" s="87">
        <v>1</v>
      </c>
      <c r="F484" s="88">
        <f>F483*E484</f>
        <v>79.19999999999999</v>
      </c>
      <c r="G484" s="88"/>
      <c r="H484" s="83"/>
      <c r="I484" s="84"/>
      <c r="J484" s="83"/>
      <c r="K484" s="84"/>
      <c r="L484" s="83"/>
      <c r="M484" s="84"/>
      <c r="N484" s="84"/>
      <c r="O484" s="124"/>
    </row>
    <row r="485" spans="1:15" s="61" customFormat="1" ht="54" customHeight="1">
      <c r="A485" s="5">
        <f>A482+1</f>
        <v>62</v>
      </c>
      <c r="B485" s="94" t="s">
        <v>32</v>
      </c>
      <c r="C485" s="68" t="s">
        <v>659</v>
      </c>
      <c r="D485" s="69" t="s">
        <v>87</v>
      </c>
      <c r="E485" s="101"/>
      <c r="F485" s="148">
        <f>F482</f>
        <v>79.19999999999999</v>
      </c>
      <c r="G485" s="148"/>
      <c r="H485" s="83"/>
      <c r="I485" s="84"/>
      <c r="J485" s="83"/>
      <c r="K485" s="84"/>
      <c r="L485" s="83"/>
      <c r="M485" s="84"/>
      <c r="N485" s="84"/>
      <c r="O485" s="124"/>
    </row>
    <row r="486" spans="1:15" s="67" customFormat="1" ht="18" customHeight="1">
      <c r="A486" s="110"/>
      <c r="B486" s="145"/>
      <c r="C486" s="63" t="s">
        <v>61</v>
      </c>
      <c r="D486" s="5" t="s">
        <v>86</v>
      </c>
      <c r="E486" s="87">
        <v>1</v>
      </c>
      <c r="F486" s="88">
        <f>F485*E486</f>
        <v>79.19999999999999</v>
      </c>
      <c r="G486" s="88"/>
      <c r="H486" s="83"/>
      <c r="I486" s="84"/>
      <c r="J486" s="83"/>
      <c r="K486" s="84"/>
      <c r="L486" s="83"/>
      <c r="M486" s="84"/>
      <c r="N486" s="84"/>
      <c r="O486" s="124"/>
    </row>
    <row r="487" spans="1:15" s="67" customFormat="1" ht="18" customHeight="1">
      <c r="A487" s="110"/>
      <c r="B487" s="145"/>
      <c r="C487" s="128" t="s">
        <v>144</v>
      </c>
      <c r="D487" s="4" t="s">
        <v>138</v>
      </c>
      <c r="E487" s="101">
        <f>59*0.01</f>
        <v>0.59</v>
      </c>
      <c r="F487" s="88">
        <f>E487*F485</f>
        <v>46.72799999999999</v>
      </c>
      <c r="G487" s="88"/>
      <c r="H487" s="83"/>
      <c r="I487" s="84"/>
      <c r="J487" s="83"/>
      <c r="K487" s="84"/>
      <c r="L487" s="83"/>
      <c r="M487" s="84"/>
      <c r="N487" s="84"/>
      <c r="O487" s="124"/>
    </row>
    <row r="488" spans="1:15" s="67" customFormat="1" ht="18" customHeight="1">
      <c r="A488" s="110"/>
      <c r="B488" s="145"/>
      <c r="C488" s="128" t="s">
        <v>145</v>
      </c>
      <c r="D488" s="4" t="s">
        <v>138</v>
      </c>
      <c r="E488" s="101">
        <f>15*0.01</f>
        <v>0.15</v>
      </c>
      <c r="F488" s="88">
        <f>E488*F485</f>
        <v>11.879999999999997</v>
      </c>
      <c r="G488" s="88"/>
      <c r="H488" s="83"/>
      <c r="I488" s="84"/>
      <c r="J488" s="83"/>
      <c r="K488" s="84"/>
      <c r="L488" s="83"/>
      <c r="M488" s="84"/>
      <c r="N488" s="84"/>
      <c r="O488" s="124"/>
    </row>
    <row r="489" spans="1:14" ht="18" customHeight="1">
      <c r="A489" s="182"/>
      <c r="B489" s="145"/>
      <c r="C489" s="63" t="s">
        <v>77</v>
      </c>
      <c r="D489" s="5" t="s">
        <v>15</v>
      </c>
      <c r="E489" s="101">
        <f>0.34/100</f>
        <v>0.0034000000000000002</v>
      </c>
      <c r="F489" s="106">
        <f>E489*F485</f>
        <v>0.26927999999999996</v>
      </c>
      <c r="G489" s="106"/>
      <c r="H489" s="83"/>
      <c r="I489" s="84"/>
      <c r="J489" s="83"/>
      <c r="K489" s="84"/>
      <c r="L489" s="83"/>
      <c r="M489" s="84"/>
      <c r="N489" s="84"/>
    </row>
    <row r="490" spans="1:15" s="61" customFormat="1" ht="39" customHeight="1">
      <c r="A490" s="5">
        <f>A485+1</f>
        <v>63</v>
      </c>
      <c r="B490" s="94" t="s">
        <v>100</v>
      </c>
      <c r="C490" s="164" t="s">
        <v>757</v>
      </c>
      <c r="D490" s="69" t="s">
        <v>87</v>
      </c>
      <c r="E490" s="101"/>
      <c r="F490" s="148">
        <f>F492</f>
        <v>139.39999999999998</v>
      </c>
      <c r="G490" s="148"/>
      <c r="H490" s="83"/>
      <c r="I490" s="84"/>
      <c r="J490" s="83"/>
      <c r="K490" s="84"/>
      <c r="L490" s="83"/>
      <c r="M490" s="84"/>
      <c r="N490" s="84"/>
      <c r="O490" s="124"/>
    </row>
    <row r="491" spans="1:15" s="67" customFormat="1" ht="18" customHeight="1">
      <c r="A491" s="110"/>
      <c r="B491" s="145"/>
      <c r="C491" s="128" t="s">
        <v>61</v>
      </c>
      <c r="D491" s="5" t="str">
        <f>D490</f>
        <v>მ2</v>
      </c>
      <c r="E491" s="87">
        <v>1</v>
      </c>
      <c r="F491" s="106">
        <f>E491*F490</f>
        <v>139.39999999999998</v>
      </c>
      <c r="G491" s="106"/>
      <c r="H491" s="83"/>
      <c r="I491" s="84"/>
      <c r="J491" s="83"/>
      <c r="K491" s="84"/>
      <c r="L491" s="83"/>
      <c r="M491" s="84"/>
      <c r="N491" s="84"/>
      <c r="O491" s="124"/>
    </row>
    <row r="492" spans="1:15" s="67" customFormat="1" ht="39" customHeight="1">
      <c r="A492" s="110"/>
      <c r="B492" s="145"/>
      <c r="C492" s="128" t="s">
        <v>756</v>
      </c>
      <c r="D492" s="5" t="s">
        <v>86</v>
      </c>
      <c r="E492" s="87">
        <v>1</v>
      </c>
      <c r="F492" s="106">
        <f>(4.1*1)*(2+4+4+4+4+6+10)</f>
        <v>139.39999999999998</v>
      </c>
      <c r="G492" s="106"/>
      <c r="H492" s="83"/>
      <c r="I492" s="84"/>
      <c r="J492" s="83"/>
      <c r="K492" s="84"/>
      <c r="L492" s="83"/>
      <c r="M492" s="84"/>
      <c r="N492" s="84"/>
      <c r="O492" s="124"/>
    </row>
    <row r="493" spans="1:15" s="61" customFormat="1" ht="39" customHeight="1">
      <c r="A493" s="5">
        <f>A490+1</f>
        <v>64</v>
      </c>
      <c r="B493" s="94" t="s">
        <v>100</v>
      </c>
      <c r="C493" s="164" t="s">
        <v>757</v>
      </c>
      <c r="D493" s="69" t="str">
        <f>D495</f>
        <v>გრძ.მ.</v>
      </c>
      <c r="E493" s="101"/>
      <c r="F493" s="148">
        <f>SUM(F495:F496)</f>
        <v>531</v>
      </c>
      <c r="G493" s="148"/>
      <c r="H493" s="83"/>
      <c r="I493" s="84"/>
      <c r="J493" s="83"/>
      <c r="K493" s="84"/>
      <c r="L493" s="83"/>
      <c r="M493" s="84"/>
      <c r="N493" s="84"/>
      <c r="O493" s="124"/>
    </row>
    <row r="494" spans="1:15" s="67" customFormat="1" ht="18" customHeight="1">
      <c r="A494" s="110"/>
      <c r="B494" s="145"/>
      <c r="C494" s="128" t="s">
        <v>61</v>
      </c>
      <c r="D494" s="5" t="str">
        <f>D493</f>
        <v>გრძ.მ.</v>
      </c>
      <c r="E494" s="87">
        <v>1</v>
      </c>
      <c r="F494" s="106">
        <f>E494*F493</f>
        <v>531</v>
      </c>
      <c r="G494" s="106"/>
      <c r="H494" s="83"/>
      <c r="I494" s="84"/>
      <c r="J494" s="83"/>
      <c r="K494" s="84"/>
      <c r="L494" s="83"/>
      <c r="M494" s="84"/>
      <c r="N494" s="84"/>
      <c r="O494" s="124"/>
    </row>
    <row r="495" spans="1:15" s="67" customFormat="1" ht="18" customHeight="1">
      <c r="A495" s="110"/>
      <c r="B495" s="145"/>
      <c r="C495" s="128" t="s">
        <v>665</v>
      </c>
      <c r="D495" s="5" t="s">
        <v>105</v>
      </c>
      <c r="E495" s="87">
        <v>1</v>
      </c>
      <c r="F495" s="106">
        <f>12.9*(7*2)+9.2*12</f>
        <v>291</v>
      </c>
      <c r="G495" s="106"/>
      <c r="H495" s="83"/>
      <c r="I495" s="84"/>
      <c r="J495" s="83"/>
      <c r="K495" s="84"/>
      <c r="L495" s="83"/>
      <c r="M495" s="84"/>
      <c r="N495" s="84"/>
      <c r="O495" s="124"/>
    </row>
    <row r="496" spans="1:15" s="67" customFormat="1" ht="18" customHeight="1">
      <c r="A496" s="110"/>
      <c r="B496" s="145"/>
      <c r="C496" s="128" t="s">
        <v>666</v>
      </c>
      <c r="D496" s="5" t="str">
        <f>D495</f>
        <v>გრძ.მ.</v>
      </c>
      <c r="E496" s="87">
        <v>1</v>
      </c>
      <c r="F496" s="106">
        <f>12*6+12*7+12*7</f>
        <v>240</v>
      </c>
      <c r="G496" s="106"/>
      <c r="H496" s="83"/>
      <c r="I496" s="84"/>
      <c r="J496" s="83"/>
      <c r="K496" s="84"/>
      <c r="L496" s="83"/>
      <c r="M496" s="84"/>
      <c r="N496" s="84"/>
      <c r="O496" s="124"/>
    </row>
    <row r="497" spans="1:14" s="229" customFormat="1" ht="69" customHeight="1">
      <c r="A497" s="5">
        <f>A493+1</f>
        <v>65</v>
      </c>
      <c r="B497" s="223" t="s">
        <v>208</v>
      </c>
      <c r="C497" s="68" t="s">
        <v>655</v>
      </c>
      <c r="D497" s="69" t="s">
        <v>87</v>
      </c>
      <c r="E497" s="100"/>
      <c r="F497" s="148">
        <f>F490*2</f>
        <v>278.79999999999995</v>
      </c>
      <c r="G497" s="147"/>
      <c r="H497" s="88"/>
      <c r="I497" s="106"/>
      <c r="J497" s="88"/>
      <c r="K497" s="106"/>
      <c r="L497" s="106"/>
      <c r="M497" s="88"/>
      <c r="N497" s="88"/>
    </row>
    <row r="498" spans="1:14" s="232" customFormat="1" ht="18" customHeight="1">
      <c r="A498" s="5"/>
      <c r="B498" s="230"/>
      <c r="C498" s="63" t="s">
        <v>61</v>
      </c>
      <c r="D498" s="5" t="s">
        <v>86</v>
      </c>
      <c r="E498" s="87">
        <v>1</v>
      </c>
      <c r="F498" s="194">
        <f>F497*E498</f>
        <v>278.79999999999995</v>
      </c>
      <c r="G498" s="43"/>
      <c r="H498" s="88"/>
      <c r="I498" s="106"/>
      <c r="J498" s="88"/>
      <c r="K498" s="106"/>
      <c r="L498" s="106"/>
      <c r="M498" s="88"/>
      <c r="N498" s="88"/>
    </row>
    <row r="499" spans="1:14" s="249" customFormat="1" ht="18" customHeight="1">
      <c r="A499" s="5"/>
      <c r="B499" s="222"/>
      <c r="C499" s="144" t="s">
        <v>142</v>
      </c>
      <c r="D499" s="4" t="s">
        <v>138</v>
      </c>
      <c r="E499" s="107">
        <f>(24.4+0.2)*0.01</f>
        <v>0.246</v>
      </c>
      <c r="F499" s="106">
        <f>E499*F497</f>
        <v>68.58479999999999</v>
      </c>
      <c r="G499" s="88"/>
      <c r="H499" s="88"/>
      <c r="I499" s="106"/>
      <c r="J499" s="88"/>
      <c r="K499" s="106"/>
      <c r="L499" s="106"/>
      <c r="M499" s="88"/>
      <c r="N499" s="88"/>
    </row>
    <row r="500" spans="1:14" s="249" customFormat="1" ht="18" customHeight="1">
      <c r="A500" s="5"/>
      <c r="B500" s="222"/>
      <c r="C500" s="144" t="s">
        <v>143</v>
      </c>
      <c r="D500" s="4" t="s">
        <v>138</v>
      </c>
      <c r="E500" s="107">
        <v>0.027</v>
      </c>
      <c r="F500" s="106">
        <f>E500*F497</f>
        <v>7.527599999999999</v>
      </c>
      <c r="G500" s="88"/>
      <c r="H500" s="88"/>
      <c r="I500" s="106"/>
      <c r="J500" s="88"/>
      <c r="K500" s="106"/>
      <c r="L500" s="106"/>
      <c r="M500" s="88"/>
      <c r="N500" s="88"/>
    </row>
    <row r="501" spans="1:14" s="232" customFormat="1" ht="18" customHeight="1">
      <c r="A501" s="5"/>
      <c r="B501" s="222"/>
      <c r="C501" s="63" t="s">
        <v>77</v>
      </c>
      <c r="D501" s="5" t="s">
        <v>15</v>
      </c>
      <c r="E501" s="101">
        <v>0.0019</v>
      </c>
      <c r="F501" s="88">
        <f>F497*E501</f>
        <v>0.5297199999999999</v>
      </c>
      <c r="G501" s="88"/>
      <c r="H501" s="83"/>
      <c r="I501" s="106"/>
      <c r="J501" s="88"/>
      <c r="K501" s="106"/>
      <c r="L501" s="106"/>
      <c r="M501" s="88"/>
      <c r="N501" s="88"/>
    </row>
    <row r="502" spans="1:16" s="61" customFormat="1" ht="39" customHeight="1">
      <c r="A502" s="5">
        <f>A497+1</f>
        <v>66</v>
      </c>
      <c r="B502" s="94" t="s">
        <v>100</v>
      </c>
      <c r="C502" s="68" t="s">
        <v>653</v>
      </c>
      <c r="D502" s="69" t="s">
        <v>105</v>
      </c>
      <c r="E502" s="101"/>
      <c r="F502" s="148">
        <f>1.3*33+1.3*11+1.3*11+4.4*11+4.4*11</f>
        <v>168.3</v>
      </c>
      <c r="G502" s="148"/>
      <c r="H502" s="83"/>
      <c r="I502" s="84"/>
      <c r="J502" s="83"/>
      <c r="K502" s="84"/>
      <c r="L502" s="83"/>
      <c r="M502" s="84"/>
      <c r="N502" s="84"/>
      <c r="O502" s="185"/>
      <c r="P502" s="23"/>
    </row>
    <row r="503" spans="1:15" s="67" customFormat="1" ht="18" customHeight="1">
      <c r="A503" s="5"/>
      <c r="B503" s="145"/>
      <c r="C503" s="63" t="s">
        <v>61</v>
      </c>
      <c r="D503" s="5" t="str">
        <f>D502</f>
        <v>გრძ.მ.</v>
      </c>
      <c r="E503" s="87">
        <v>1</v>
      </c>
      <c r="F503" s="43">
        <f>F502*E503</f>
        <v>168.3</v>
      </c>
      <c r="G503" s="43"/>
      <c r="H503" s="83"/>
      <c r="I503" s="84"/>
      <c r="J503" s="83"/>
      <c r="K503" s="84"/>
      <c r="L503" s="83"/>
      <c r="M503" s="84"/>
      <c r="N503" s="84"/>
      <c r="O503" s="124"/>
    </row>
    <row r="504" spans="1:15" s="188" customFormat="1" ht="18" customHeight="1">
      <c r="A504" s="5"/>
      <c r="B504" s="123" t="s">
        <v>11</v>
      </c>
      <c r="C504" s="128" t="s">
        <v>132</v>
      </c>
      <c r="D504" s="5" t="str">
        <f>D502</f>
        <v>გრძ.მ.</v>
      </c>
      <c r="E504" s="87">
        <v>1.1</v>
      </c>
      <c r="F504" s="88">
        <f>E504*F502</f>
        <v>185.13000000000002</v>
      </c>
      <c r="G504" s="88"/>
      <c r="H504" s="83"/>
      <c r="I504" s="84"/>
      <c r="J504" s="83"/>
      <c r="K504" s="84"/>
      <c r="L504" s="83"/>
      <c r="M504" s="84"/>
      <c r="N504" s="84"/>
      <c r="O504" s="187"/>
    </row>
    <row r="505" spans="1:15" s="67" customFormat="1" ht="18" customHeight="1">
      <c r="A505" s="5"/>
      <c r="B505" s="123"/>
      <c r="C505" s="63" t="s">
        <v>77</v>
      </c>
      <c r="D505" s="5" t="s">
        <v>15</v>
      </c>
      <c r="E505" s="101">
        <v>0.078</v>
      </c>
      <c r="F505" s="88">
        <f>F502*E505</f>
        <v>13.127400000000002</v>
      </c>
      <c r="G505" s="88"/>
      <c r="H505" s="83"/>
      <c r="I505" s="84"/>
      <c r="J505" s="83"/>
      <c r="K505" s="84"/>
      <c r="L505" s="83"/>
      <c r="M505" s="84"/>
      <c r="N505" s="84"/>
      <c r="O505" s="124"/>
    </row>
    <row r="506" spans="1:14" s="229" customFormat="1" ht="39" customHeight="1">
      <c r="A506" s="5">
        <f>A502+1</f>
        <v>67</v>
      </c>
      <c r="B506" s="223" t="s">
        <v>644</v>
      </c>
      <c r="C506" s="68" t="s">
        <v>691</v>
      </c>
      <c r="D506" s="4" t="s">
        <v>105</v>
      </c>
      <c r="E506" s="106"/>
      <c r="F506" s="239">
        <f>(4+4+3.75+3.75+3.4+4)*2</f>
        <v>45.8</v>
      </c>
      <c r="G506" s="239"/>
      <c r="H506" s="83"/>
      <c r="I506" s="444"/>
      <c r="J506" s="83"/>
      <c r="K506" s="84"/>
      <c r="L506" s="83"/>
      <c r="M506" s="84"/>
      <c r="N506" s="84"/>
    </row>
    <row r="507" spans="1:14" s="232" customFormat="1" ht="18" customHeight="1">
      <c r="A507" s="4"/>
      <c r="B507" s="230"/>
      <c r="C507" s="63" t="s">
        <v>61</v>
      </c>
      <c r="D507" s="4" t="s">
        <v>105</v>
      </c>
      <c r="E507" s="88">
        <v>1</v>
      </c>
      <c r="F507" s="247">
        <f>F506*E507</f>
        <v>45.8</v>
      </c>
      <c r="G507" s="247"/>
      <c r="H507" s="83"/>
      <c r="I507" s="444"/>
      <c r="J507" s="83"/>
      <c r="K507" s="84"/>
      <c r="L507" s="83"/>
      <c r="M507" s="84"/>
      <c r="N507" s="84"/>
    </row>
    <row r="508" spans="1:14" s="249" customFormat="1" ht="18" customHeight="1">
      <c r="A508" s="5"/>
      <c r="B508" s="222"/>
      <c r="C508" s="144" t="s">
        <v>692</v>
      </c>
      <c r="D508" s="4" t="s">
        <v>105</v>
      </c>
      <c r="E508" s="106">
        <v>1</v>
      </c>
      <c r="F508" s="224">
        <f>E508*F506</f>
        <v>45.8</v>
      </c>
      <c r="G508" s="224"/>
      <c r="H508" s="83"/>
      <c r="I508" s="444"/>
      <c r="J508" s="83"/>
      <c r="K508" s="84"/>
      <c r="L508" s="83"/>
      <c r="M508" s="84"/>
      <c r="N508" s="84"/>
    </row>
    <row r="509" spans="1:16" ht="24" customHeight="1">
      <c r="A509" s="5">
        <f>A502+1</f>
        <v>67</v>
      </c>
      <c r="B509" s="94" t="s">
        <v>2</v>
      </c>
      <c r="C509" s="68" t="s">
        <v>148</v>
      </c>
      <c r="D509" s="69" t="s">
        <v>87</v>
      </c>
      <c r="E509" s="113"/>
      <c r="F509" s="147">
        <f>F464</f>
        <v>788.77</v>
      </c>
      <c r="G509" s="147"/>
      <c r="H509" s="83"/>
      <c r="I509" s="84"/>
      <c r="J509" s="83"/>
      <c r="K509" s="84"/>
      <c r="L509" s="83"/>
      <c r="M509" s="84"/>
      <c r="N509" s="84"/>
      <c r="O509" s="124"/>
      <c r="P509" s="67"/>
    </row>
    <row r="510" spans="1:15" s="67" customFormat="1" ht="18" customHeight="1">
      <c r="A510" s="4"/>
      <c r="B510" s="123"/>
      <c r="C510" s="63" t="s">
        <v>61</v>
      </c>
      <c r="D510" s="5" t="s">
        <v>86</v>
      </c>
      <c r="E510" s="87">
        <v>1</v>
      </c>
      <c r="F510" s="194">
        <f>F509*E510</f>
        <v>788.77</v>
      </c>
      <c r="G510" s="194"/>
      <c r="H510" s="83"/>
      <c r="I510" s="84"/>
      <c r="J510" s="83"/>
      <c r="K510" s="84"/>
      <c r="L510" s="83"/>
      <c r="M510" s="84"/>
      <c r="N510" s="84"/>
      <c r="O510" s="124"/>
    </row>
    <row r="511" spans="1:16" ht="39" customHeight="1">
      <c r="A511" s="4"/>
      <c r="B511" s="145"/>
      <c r="C511" s="128" t="s">
        <v>122</v>
      </c>
      <c r="D511" s="5" t="s">
        <v>105</v>
      </c>
      <c r="E511" s="87" t="s">
        <v>1</v>
      </c>
      <c r="F511" s="88">
        <f>4.2*12</f>
        <v>50.400000000000006</v>
      </c>
      <c r="G511" s="88"/>
      <c r="H511" s="83"/>
      <c r="I511" s="84"/>
      <c r="J511" s="83"/>
      <c r="K511" s="84"/>
      <c r="L511" s="83"/>
      <c r="M511" s="84"/>
      <c r="N511" s="84"/>
      <c r="O511" s="124"/>
      <c r="P511" s="67"/>
    </row>
    <row r="512" spans="1:16" ht="18" customHeight="1">
      <c r="A512" s="4"/>
      <c r="B512" s="145"/>
      <c r="C512" s="128" t="s">
        <v>149</v>
      </c>
      <c r="D512" s="4" t="s">
        <v>92</v>
      </c>
      <c r="E512" s="87" t="s">
        <v>1</v>
      </c>
      <c r="F512" s="506">
        <f>F511</f>
        <v>50.400000000000006</v>
      </c>
      <c r="G512" s="506"/>
      <c r="H512" s="83"/>
      <c r="I512" s="84"/>
      <c r="J512" s="83"/>
      <c r="K512" s="84"/>
      <c r="L512" s="83"/>
      <c r="M512" s="84"/>
      <c r="N512" s="84"/>
      <c r="O512" s="124"/>
      <c r="P512" s="67"/>
    </row>
    <row r="513" spans="1:16" ht="18" customHeight="1">
      <c r="A513" s="4"/>
      <c r="B513" s="145"/>
      <c r="C513" s="128" t="s">
        <v>150</v>
      </c>
      <c r="D513" s="4" t="str">
        <f>D512</f>
        <v>ცალი</v>
      </c>
      <c r="E513" s="87" t="s">
        <v>1</v>
      </c>
      <c r="F513" s="506">
        <f>F512</f>
        <v>50.400000000000006</v>
      </c>
      <c r="G513" s="506"/>
      <c r="H513" s="83"/>
      <c r="I513" s="84"/>
      <c r="J513" s="83"/>
      <c r="K513" s="84"/>
      <c r="L513" s="83"/>
      <c r="M513" s="84"/>
      <c r="N513" s="84"/>
      <c r="O513" s="124"/>
      <c r="P513" s="67"/>
    </row>
    <row r="514" spans="1:16" ht="43.5" customHeight="1">
      <c r="A514" s="4"/>
      <c r="B514" s="145"/>
      <c r="C514" s="128" t="s">
        <v>121</v>
      </c>
      <c r="D514" s="4" t="str">
        <f>D512</f>
        <v>ცალი</v>
      </c>
      <c r="E514" s="87" t="s">
        <v>1</v>
      </c>
      <c r="F514" s="88">
        <v>12</v>
      </c>
      <c r="G514" s="88"/>
      <c r="H514" s="83"/>
      <c r="I514" s="84"/>
      <c r="J514" s="83"/>
      <c r="K514" s="84"/>
      <c r="L514" s="83"/>
      <c r="M514" s="84"/>
      <c r="N514" s="84"/>
      <c r="O514" s="124"/>
      <c r="P514" s="67"/>
    </row>
    <row r="515" spans="1:16" ht="18" customHeight="1">
      <c r="A515" s="4"/>
      <c r="B515" s="145"/>
      <c r="C515" s="128" t="s">
        <v>151</v>
      </c>
      <c r="D515" s="4" t="str">
        <f>D512</f>
        <v>ცალი</v>
      </c>
      <c r="E515" s="87" t="s">
        <v>1</v>
      </c>
      <c r="F515" s="88">
        <f>F514</f>
        <v>12</v>
      </c>
      <c r="G515" s="88"/>
      <c r="H515" s="83"/>
      <c r="I515" s="84"/>
      <c r="J515" s="83"/>
      <c r="K515" s="84"/>
      <c r="L515" s="83"/>
      <c r="M515" s="84"/>
      <c r="N515" s="84"/>
      <c r="O515" s="124"/>
      <c r="P515" s="67"/>
    </row>
    <row r="516" spans="1:16" ht="18" customHeight="1">
      <c r="A516" s="4"/>
      <c r="B516" s="145"/>
      <c r="C516" s="63" t="s">
        <v>77</v>
      </c>
      <c r="D516" s="5" t="s">
        <v>15</v>
      </c>
      <c r="E516" s="99">
        <v>0.0037</v>
      </c>
      <c r="F516" s="88">
        <f>F509*E516</f>
        <v>2.918449</v>
      </c>
      <c r="G516" s="88"/>
      <c r="H516" s="83"/>
      <c r="I516" s="84"/>
      <c r="J516" s="83"/>
      <c r="K516" s="84"/>
      <c r="L516" s="83"/>
      <c r="M516" s="84"/>
      <c r="N516" s="84"/>
      <c r="O516" s="124"/>
      <c r="P516" s="67"/>
    </row>
    <row r="517" spans="1:15" s="143" customFormat="1" ht="39" customHeight="1">
      <c r="A517" s="5">
        <f>A509+1</f>
        <v>68</v>
      </c>
      <c r="B517" s="123" t="s">
        <v>7</v>
      </c>
      <c r="C517" s="68" t="s">
        <v>152</v>
      </c>
      <c r="D517" s="69" t="s">
        <v>87</v>
      </c>
      <c r="E517" s="113"/>
      <c r="F517" s="148">
        <f>F509</f>
        <v>788.77</v>
      </c>
      <c r="G517" s="148"/>
      <c r="H517" s="83"/>
      <c r="I517" s="84"/>
      <c r="J517" s="83"/>
      <c r="K517" s="84"/>
      <c r="L517" s="83"/>
      <c r="M517" s="84"/>
      <c r="N517" s="84"/>
      <c r="O517" s="142"/>
    </row>
    <row r="518" spans="1:15" s="67" customFormat="1" ht="18" customHeight="1">
      <c r="A518" s="4"/>
      <c r="B518" s="123"/>
      <c r="C518" s="63" t="s">
        <v>61</v>
      </c>
      <c r="D518" s="5" t="s">
        <v>86</v>
      </c>
      <c r="E518" s="87">
        <v>1</v>
      </c>
      <c r="F518" s="194">
        <f>F517*E518</f>
        <v>788.77</v>
      </c>
      <c r="G518" s="194"/>
      <c r="H518" s="83"/>
      <c r="I518" s="84"/>
      <c r="J518" s="83"/>
      <c r="K518" s="84"/>
      <c r="L518" s="83"/>
      <c r="M518" s="84"/>
      <c r="N518" s="84"/>
      <c r="O518" s="122"/>
    </row>
    <row r="519" spans="1:14" ht="18" customHeight="1">
      <c r="A519" s="5"/>
      <c r="B519" s="123"/>
      <c r="C519" s="144" t="s">
        <v>153</v>
      </c>
      <c r="D519" s="5" t="s">
        <v>81</v>
      </c>
      <c r="E519" s="214">
        <f>0.035/100</f>
        <v>0.00035000000000000005</v>
      </c>
      <c r="F519" s="106">
        <f>F517*E519</f>
        <v>0.2760695</v>
      </c>
      <c r="G519" s="106"/>
      <c r="H519" s="83"/>
      <c r="I519" s="84"/>
      <c r="J519" s="83"/>
      <c r="K519" s="84"/>
      <c r="L519" s="83"/>
      <c r="M519" s="84"/>
      <c r="N519" s="84"/>
    </row>
    <row r="520" spans="1:14" ht="18" customHeight="1">
      <c r="A520" s="5"/>
      <c r="B520" s="127"/>
      <c r="C520" s="144" t="s">
        <v>154</v>
      </c>
      <c r="D520" s="5" t="s">
        <v>74</v>
      </c>
      <c r="E520" s="214">
        <f>0.009/100</f>
        <v>8.999999999999999E-05</v>
      </c>
      <c r="F520" s="106">
        <f>F517*E520</f>
        <v>0.07098929999999999</v>
      </c>
      <c r="G520" s="106"/>
      <c r="H520" s="83"/>
      <c r="I520" s="84"/>
      <c r="J520" s="83"/>
      <c r="K520" s="84"/>
      <c r="L520" s="83"/>
      <c r="M520" s="84"/>
      <c r="N520" s="84"/>
    </row>
    <row r="521" spans="1:14" ht="18" customHeight="1">
      <c r="A521" s="5"/>
      <c r="B521" s="131"/>
      <c r="C521" s="144" t="s">
        <v>155</v>
      </c>
      <c r="D521" s="5" t="s">
        <v>86</v>
      </c>
      <c r="E521" s="214">
        <f>3.4/100</f>
        <v>0.034</v>
      </c>
      <c r="F521" s="106">
        <f>F517*E521</f>
        <v>26.81818</v>
      </c>
      <c r="G521" s="106"/>
      <c r="H521" s="83"/>
      <c r="I521" s="84"/>
      <c r="J521" s="83"/>
      <c r="K521" s="84"/>
      <c r="L521" s="83"/>
      <c r="M521" s="84"/>
      <c r="N521" s="84"/>
    </row>
    <row r="522" spans="1:16" ht="9" customHeight="1">
      <c r="A522" s="4"/>
      <c r="B522" s="145"/>
      <c r="C522" s="159"/>
      <c r="D522" s="4"/>
      <c r="E522" s="4"/>
      <c r="F522" s="88"/>
      <c r="G522" s="88"/>
      <c r="H522" s="88"/>
      <c r="I522" s="88"/>
      <c r="J522" s="88"/>
      <c r="K522" s="88"/>
      <c r="L522" s="88"/>
      <c r="M522" s="88"/>
      <c r="N522" s="106"/>
      <c r="O522" s="124"/>
      <c r="P522" s="67"/>
    </row>
    <row r="523" spans="1:17" s="143" customFormat="1" ht="18" customHeight="1" thickBot="1">
      <c r="A523" s="4"/>
      <c r="B523" s="145"/>
      <c r="C523" s="146" t="s">
        <v>157</v>
      </c>
      <c r="D523" s="110"/>
      <c r="E523" s="4"/>
      <c r="F523" s="147"/>
      <c r="G523" s="147"/>
      <c r="H523" s="148"/>
      <c r="I523" s="70"/>
      <c r="J523" s="149"/>
      <c r="K523" s="70"/>
      <c r="L523" s="149"/>
      <c r="M523" s="70"/>
      <c r="N523" s="70"/>
      <c r="O523" s="150"/>
      <c r="P523" s="151"/>
      <c r="Q523" s="152"/>
    </row>
    <row r="524" spans="1:17" s="202" customFormat="1" ht="18" customHeight="1">
      <c r="A524" s="197"/>
      <c r="B524" s="198"/>
      <c r="C524" s="160" t="s">
        <v>140</v>
      </c>
      <c r="D524" s="114"/>
      <c r="E524" s="114"/>
      <c r="F524" s="165"/>
      <c r="G524" s="165"/>
      <c r="H524" s="165"/>
      <c r="I524" s="166">
        <f>I523+I332</f>
        <v>0</v>
      </c>
      <c r="J524" s="166"/>
      <c r="K524" s="166">
        <f>K523+K332</f>
        <v>0</v>
      </c>
      <c r="L524" s="166"/>
      <c r="M524" s="166">
        <f>M523+M332</f>
        <v>0</v>
      </c>
      <c r="N524" s="166">
        <f>N523+N332</f>
        <v>0</v>
      </c>
      <c r="O524" s="199"/>
      <c r="P524" s="200"/>
      <c r="Q524" s="201"/>
    </row>
    <row r="525" spans="1:17" s="67" customFormat="1" ht="36" customHeight="1">
      <c r="A525" s="203"/>
      <c r="B525" s="123"/>
      <c r="C525" s="63" t="s">
        <v>133</v>
      </c>
      <c r="D525" s="72">
        <v>0.03</v>
      </c>
      <c r="E525" s="5"/>
      <c r="F525" s="204"/>
      <c r="G525" s="204"/>
      <c r="H525" s="63"/>
      <c r="I525" s="64"/>
      <c r="J525" s="64"/>
      <c r="K525" s="64"/>
      <c r="L525" s="64"/>
      <c r="M525" s="64"/>
      <c r="N525" s="65">
        <f>I524*D525</f>
        <v>0</v>
      </c>
      <c r="O525" s="205"/>
      <c r="P525" s="139"/>
      <c r="Q525" s="139"/>
    </row>
    <row r="526" spans="1:17" s="61" customFormat="1" ht="18" customHeight="1">
      <c r="A526" s="203"/>
      <c r="B526" s="123"/>
      <c r="C526" s="63" t="s">
        <v>68</v>
      </c>
      <c r="D526" s="69"/>
      <c r="E526" s="5"/>
      <c r="F526" s="68"/>
      <c r="G526" s="68"/>
      <c r="H526" s="68"/>
      <c r="I526" s="70"/>
      <c r="J526" s="70"/>
      <c r="K526" s="70"/>
      <c r="L526" s="70"/>
      <c r="M526" s="70"/>
      <c r="N526" s="65">
        <f>SUM(N524:N525)</f>
        <v>0</v>
      </c>
      <c r="O526" s="124"/>
      <c r="P526" s="140"/>
      <c r="Q526" s="140"/>
    </row>
    <row r="527" spans="1:17" s="67" customFormat="1" ht="18" customHeight="1">
      <c r="A527" s="203"/>
      <c r="B527" s="123"/>
      <c r="C527" s="63" t="s">
        <v>123</v>
      </c>
      <c r="D527" s="72">
        <v>0.1</v>
      </c>
      <c r="E527" s="5"/>
      <c r="F527" s="204"/>
      <c r="G527" s="204"/>
      <c r="H527" s="63"/>
      <c r="I527" s="64"/>
      <c r="J527" s="64"/>
      <c r="K527" s="64"/>
      <c r="L527" s="64"/>
      <c r="M527" s="64"/>
      <c r="N527" s="65">
        <f>N526*D527</f>
        <v>0</v>
      </c>
      <c r="O527" s="205"/>
      <c r="P527" s="139"/>
      <c r="Q527" s="139"/>
    </row>
    <row r="528" spans="1:17" s="61" customFormat="1" ht="18" customHeight="1">
      <c r="A528" s="203"/>
      <c r="B528" s="123"/>
      <c r="C528" s="63" t="s">
        <v>68</v>
      </c>
      <c r="D528" s="69"/>
      <c r="E528" s="5"/>
      <c r="F528" s="68"/>
      <c r="G528" s="68"/>
      <c r="H528" s="68"/>
      <c r="I528" s="70"/>
      <c r="J528" s="70"/>
      <c r="K528" s="70"/>
      <c r="L528" s="70"/>
      <c r="M528" s="70"/>
      <c r="N528" s="65">
        <f>SUM(N526:N527)</f>
        <v>0</v>
      </c>
      <c r="O528" s="124"/>
      <c r="P528" s="140"/>
      <c r="Q528" s="140"/>
    </row>
    <row r="529" spans="1:15" s="67" customFormat="1" ht="18" customHeight="1">
      <c r="A529" s="203"/>
      <c r="B529" s="123"/>
      <c r="C529" s="63" t="s">
        <v>124</v>
      </c>
      <c r="D529" s="72">
        <v>0.08</v>
      </c>
      <c r="E529" s="5"/>
      <c r="F529" s="204"/>
      <c r="G529" s="204"/>
      <c r="H529" s="63"/>
      <c r="I529" s="64"/>
      <c r="J529" s="64"/>
      <c r="K529" s="64"/>
      <c r="L529" s="64"/>
      <c r="M529" s="64"/>
      <c r="N529" s="65">
        <f>N528*D529</f>
        <v>0</v>
      </c>
      <c r="O529" s="124"/>
    </row>
    <row r="530" spans="1:15" s="210" customFormat="1" ht="21" customHeight="1" thickBot="1">
      <c r="A530" s="206"/>
      <c r="B530" s="207"/>
      <c r="C530" s="161" t="s">
        <v>141</v>
      </c>
      <c r="D530" s="115"/>
      <c r="E530" s="116"/>
      <c r="F530" s="208"/>
      <c r="G530" s="208"/>
      <c r="H530" s="161"/>
      <c r="I530" s="167"/>
      <c r="J530" s="167"/>
      <c r="K530" s="167"/>
      <c r="L530" s="167"/>
      <c r="M530" s="167"/>
      <c r="N530" s="168">
        <f>SUM(N528:N529)</f>
        <v>0</v>
      </c>
      <c r="O530" s="209"/>
    </row>
    <row r="531" spans="1:15" ht="15">
      <c r="A531" s="24"/>
      <c r="B531" s="90"/>
      <c r="C531" s="162"/>
      <c r="D531" s="117"/>
      <c r="E531" s="24"/>
      <c r="F531" s="162"/>
      <c r="G531" s="162"/>
      <c r="H531" s="162"/>
      <c r="I531" s="162"/>
      <c r="J531" s="169"/>
      <c r="K531" s="162"/>
      <c r="L531" s="169"/>
      <c r="M531" s="162"/>
      <c r="N531" s="67"/>
      <c r="O531" s="211"/>
    </row>
    <row r="532" spans="1:14" ht="15">
      <c r="A532" s="24"/>
      <c r="B532" s="90"/>
      <c r="C532" s="82"/>
      <c r="D532" s="117"/>
      <c r="E532" s="24"/>
      <c r="F532" s="162"/>
      <c r="G532" s="162"/>
      <c r="H532" s="162"/>
      <c r="I532" s="162"/>
      <c r="J532" s="169"/>
      <c r="K532" s="162"/>
      <c r="L532" s="169"/>
      <c r="M532" s="162"/>
      <c r="N532" s="67"/>
    </row>
    <row r="533" spans="1:14" ht="15">
      <c r="A533" s="24"/>
      <c r="B533" s="90"/>
      <c r="C533" s="82"/>
      <c r="D533" s="117"/>
      <c r="E533" s="24"/>
      <c r="F533" s="162"/>
      <c r="G533" s="162"/>
      <c r="H533" s="162"/>
      <c r="I533" s="162"/>
      <c r="J533" s="169"/>
      <c r="K533" s="162"/>
      <c r="L533" s="169"/>
      <c r="M533" s="162"/>
      <c r="N533" s="67"/>
    </row>
    <row r="534" spans="1:14" ht="15">
      <c r="A534" s="24"/>
      <c r="B534" s="90"/>
      <c r="C534" s="15"/>
      <c r="D534" s="117"/>
      <c r="E534" s="24"/>
      <c r="F534" s="162"/>
      <c r="G534" s="162"/>
      <c r="H534" s="162"/>
      <c r="I534" s="162"/>
      <c r="J534" s="169"/>
      <c r="K534" s="170"/>
      <c r="L534" s="169"/>
      <c r="M534" s="162"/>
      <c r="N534" s="67"/>
    </row>
    <row r="535" spans="1:15" s="163" customFormat="1" ht="18" customHeight="1">
      <c r="A535" s="118"/>
      <c r="B535" s="212"/>
      <c r="D535" s="118"/>
      <c r="E535" s="119"/>
      <c r="H535" s="678"/>
      <c r="I535" s="678"/>
      <c r="J535" s="678"/>
      <c r="N535" s="27"/>
      <c r="O535" s="176"/>
    </row>
    <row r="536" spans="1:13" ht="15">
      <c r="A536" s="24"/>
      <c r="B536" s="90"/>
      <c r="C536" s="162"/>
      <c r="D536" s="117"/>
      <c r="E536" s="24"/>
      <c r="F536" s="169"/>
      <c r="G536" s="169"/>
      <c r="H536" s="169"/>
      <c r="I536" s="169"/>
      <c r="J536" s="169"/>
      <c r="K536" s="169"/>
      <c r="L536" s="169"/>
      <c r="M536" s="169"/>
    </row>
    <row r="537" spans="1:13" ht="15">
      <c r="A537" s="24"/>
      <c r="B537" s="90"/>
      <c r="C537" s="162"/>
      <c r="D537" s="117"/>
      <c r="E537" s="24"/>
      <c r="F537" s="169"/>
      <c r="G537" s="169"/>
      <c r="H537" s="169"/>
      <c r="I537" s="169"/>
      <c r="J537" s="169"/>
      <c r="K537" s="169"/>
      <c r="L537" s="169"/>
      <c r="M537" s="169"/>
    </row>
    <row r="538" spans="1:13" ht="15">
      <c r="A538" s="24"/>
      <c r="B538" s="90"/>
      <c r="C538" s="162"/>
      <c r="D538" s="117"/>
      <c r="E538" s="24"/>
      <c r="F538" s="169"/>
      <c r="G538" s="169"/>
      <c r="H538" s="169"/>
      <c r="I538" s="169"/>
      <c r="J538" s="169"/>
      <c r="K538" s="169"/>
      <c r="L538" s="169"/>
      <c r="M538" s="169"/>
    </row>
    <row r="539" spans="1:14" ht="15">
      <c r="A539" s="24"/>
      <c r="B539" s="90"/>
      <c r="C539" s="162"/>
      <c r="D539" s="117"/>
      <c r="E539" s="24"/>
      <c r="F539" s="169"/>
      <c r="G539" s="169"/>
      <c r="H539" s="169"/>
      <c r="I539" s="169"/>
      <c r="J539" s="169"/>
      <c r="K539" s="169"/>
      <c r="L539" s="169"/>
      <c r="M539" s="169"/>
      <c r="N539" s="23"/>
    </row>
    <row r="540" spans="1:13" ht="15">
      <c r="A540" s="24"/>
      <c r="B540" s="90"/>
      <c r="C540" s="162"/>
      <c r="D540" s="117"/>
      <c r="E540" s="24"/>
      <c r="F540" s="169"/>
      <c r="G540" s="169"/>
      <c r="H540" s="169"/>
      <c r="I540" s="169"/>
      <c r="J540" s="169"/>
      <c r="K540" s="169"/>
      <c r="L540" s="169"/>
      <c r="M540" s="169"/>
    </row>
    <row r="541" spans="1:13" ht="15">
      <c r="A541" s="24"/>
      <c r="B541" s="90"/>
      <c r="C541" s="162"/>
      <c r="D541" s="117"/>
      <c r="E541" s="24"/>
      <c r="F541" s="169"/>
      <c r="G541" s="169"/>
      <c r="H541" s="169"/>
      <c r="I541" s="169"/>
      <c r="J541" s="169"/>
      <c r="K541" s="169"/>
      <c r="L541" s="169"/>
      <c r="M541" s="169"/>
    </row>
    <row r="542" spans="1:13" ht="15">
      <c r="A542" s="24"/>
      <c r="B542" s="90"/>
      <c r="C542" s="162"/>
      <c r="D542" s="117"/>
      <c r="E542" s="24"/>
      <c r="F542" s="169"/>
      <c r="G542" s="169"/>
      <c r="H542" s="169"/>
      <c r="I542" s="169"/>
      <c r="J542" s="169"/>
      <c r="K542" s="169"/>
      <c r="L542" s="169"/>
      <c r="M542" s="169"/>
    </row>
    <row r="543" spans="1:13" ht="15">
      <c r="A543" s="24"/>
      <c r="B543" s="90"/>
      <c r="C543" s="162"/>
      <c r="D543" s="117"/>
      <c r="E543" s="24"/>
      <c r="F543" s="169"/>
      <c r="G543" s="169"/>
      <c r="H543" s="169"/>
      <c r="I543" s="169"/>
      <c r="J543" s="169"/>
      <c r="K543" s="169"/>
      <c r="L543" s="169"/>
      <c r="M543" s="169"/>
    </row>
    <row r="544" spans="1:13" ht="15">
      <c r="A544" s="24"/>
      <c r="B544" s="90"/>
      <c r="C544" s="162"/>
      <c r="D544" s="117"/>
      <c r="E544" s="24"/>
      <c r="F544" s="169"/>
      <c r="G544" s="169"/>
      <c r="H544" s="169"/>
      <c r="I544" s="169"/>
      <c r="J544" s="169"/>
      <c r="K544" s="169"/>
      <c r="L544" s="169"/>
      <c r="M544" s="169"/>
    </row>
    <row r="545" spans="1:13" ht="15">
      <c r="A545" s="24"/>
      <c r="B545" s="90"/>
      <c r="C545" s="162"/>
      <c r="D545" s="117"/>
      <c r="E545" s="24"/>
      <c r="F545" s="169"/>
      <c r="G545" s="169"/>
      <c r="H545" s="169"/>
      <c r="I545" s="169"/>
      <c r="J545" s="169"/>
      <c r="K545" s="169"/>
      <c r="L545" s="169"/>
      <c r="M545" s="169"/>
    </row>
    <row r="546" spans="1:13" ht="15">
      <c r="A546" s="24"/>
      <c r="B546" s="90"/>
      <c r="C546" s="162"/>
      <c r="D546" s="117"/>
      <c r="E546" s="24"/>
      <c r="F546" s="169"/>
      <c r="G546" s="169"/>
      <c r="H546" s="169"/>
      <c r="I546" s="169"/>
      <c r="J546" s="169"/>
      <c r="K546" s="169"/>
      <c r="L546" s="169"/>
      <c r="M546" s="169"/>
    </row>
    <row r="547" spans="1:13" ht="15">
      <c r="A547" s="24"/>
      <c r="B547" s="90"/>
      <c r="C547" s="162"/>
      <c r="D547" s="117"/>
      <c r="E547" s="24"/>
      <c r="F547" s="169"/>
      <c r="G547" s="169"/>
      <c r="H547" s="169"/>
      <c r="I547" s="169"/>
      <c r="J547" s="169"/>
      <c r="K547" s="169"/>
      <c r="L547" s="169"/>
      <c r="M547" s="169"/>
    </row>
    <row r="548" spans="1:13" ht="15">
      <c r="A548" s="24"/>
      <c r="B548" s="90"/>
      <c r="C548" s="162"/>
      <c r="D548" s="117"/>
      <c r="E548" s="24"/>
      <c r="F548" s="169"/>
      <c r="G548" s="169"/>
      <c r="H548" s="169"/>
      <c r="I548" s="169"/>
      <c r="J548" s="169"/>
      <c r="K548" s="169"/>
      <c r="L548" s="169"/>
      <c r="M548" s="169"/>
    </row>
    <row r="549" spans="1:13" ht="15">
      <c r="A549" s="24"/>
      <c r="B549" s="90"/>
      <c r="C549" s="162"/>
      <c r="D549" s="117"/>
      <c r="E549" s="24"/>
      <c r="F549" s="169"/>
      <c r="G549" s="169"/>
      <c r="H549" s="169"/>
      <c r="I549" s="169"/>
      <c r="J549" s="169"/>
      <c r="K549" s="169"/>
      <c r="L549" s="169"/>
      <c r="M549" s="169"/>
    </row>
    <row r="550" spans="1:13" ht="15">
      <c r="A550" s="24"/>
      <c r="B550" s="90"/>
      <c r="C550" s="162"/>
      <c r="D550" s="117"/>
      <c r="E550" s="24"/>
      <c r="F550" s="169"/>
      <c r="G550" s="169"/>
      <c r="H550" s="169"/>
      <c r="I550" s="169"/>
      <c r="J550" s="169"/>
      <c r="K550" s="169"/>
      <c r="L550" s="169"/>
      <c r="M550" s="169"/>
    </row>
    <row r="551" spans="1:13" ht="15">
      <c r="A551" s="24"/>
      <c r="B551" s="90"/>
      <c r="C551" s="162"/>
      <c r="D551" s="117"/>
      <c r="E551" s="24"/>
      <c r="F551" s="169"/>
      <c r="G551" s="169"/>
      <c r="H551" s="169"/>
      <c r="I551" s="169"/>
      <c r="J551" s="169"/>
      <c r="K551" s="169"/>
      <c r="L551" s="169"/>
      <c r="M551" s="169"/>
    </row>
    <row r="552" spans="1:14" ht="15">
      <c r="A552" s="24"/>
      <c r="B552" s="90"/>
      <c r="C552" s="162"/>
      <c r="D552" s="117"/>
      <c r="E552" s="24"/>
      <c r="F552" s="169"/>
      <c r="G552" s="169"/>
      <c r="H552" s="169"/>
      <c r="I552" s="169"/>
      <c r="J552" s="169"/>
      <c r="K552" s="169"/>
      <c r="L552" s="169"/>
      <c r="M552" s="169"/>
      <c r="N552" s="172"/>
    </row>
    <row r="553" spans="1:14" ht="15">
      <c r="A553" s="24"/>
      <c r="B553" s="90"/>
      <c r="C553" s="162"/>
      <c r="D553" s="117"/>
      <c r="E553" s="24"/>
      <c r="F553" s="169"/>
      <c r="G553" s="169"/>
      <c r="H553" s="169"/>
      <c r="I553" s="169"/>
      <c r="J553" s="169"/>
      <c r="K553" s="169"/>
      <c r="L553" s="169"/>
      <c r="M553" s="169"/>
      <c r="N553" s="172"/>
    </row>
    <row r="554" spans="1:14" ht="15">
      <c r="A554" s="24"/>
      <c r="B554" s="90"/>
      <c r="C554" s="162"/>
      <c r="D554" s="117"/>
      <c r="E554" s="24"/>
      <c r="F554" s="169"/>
      <c r="G554" s="169"/>
      <c r="H554" s="169"/>
      <c r="I554" s="169"/>
      <c r="J554" s="169"/>
      <c r="K554" s="169"/>
      <c r="L554" s="169"/>
      <c r="M554" s="169"/>
      <c r="N554" s="172"/>
    </row>
    <row r="555" spans="1:14" ht="15">
      <c r="A555" s="24"/>
      <c r="B555" s="90"/>
      <c r="C555" s="162"/>
      <c r="D555" s="117"/>
      <c r="E555" s="24"/>
      <c r="F555" s="169"/>
      <c r="G555" s="169"/>
      <c r="H555" s="169"/>
      <c r="I555" s="169"/>
      <c r="J555" s="169"/>
      <c r="K555" s="169"/>
      <c r="L555" s="169"/>
      <c r="M555" s="169"/>
      <c r="N555" s="172"/>
    </row>
    <row r="556" spans="1:14" ht="15">
      <c r="A556" s="24"/>
      <c r="B556" s="90"/>
      <c r="C556" s="162"/>
      <c r="D556" s="117"/>
      <c r="E556" s="24"/>
      <c r="F556" s="169"/>
      <c r="G556" s="169"/>
      <c r="H556" s="169"/>
      <c r="I556" s="169"/>
      <c r="J556" s="169"/>
      <c r="K556" s="169"/>
      <c r="L556" s="169"/>
      <c r="M556" s="169"/>
      <c r="N556" s="172"/>
    </row>
    <row r="557" spans="1:14" ht="15">
      <c r="A557" s="24"/>
      <c r="B557" s="90"/>
      <c r="C557" s="162"/>
      <c r="D557" s="117"/>
      <c r="E557" s="24"/>
      <c r="F557" s="169"/>
      <c r="G557" s="169"/>
      <c r="H557" s="169"/>
      <c r="I557" s="169"/>
      <c r="J557" s="169"/>
      <c r="K557" s="169"/>
      <c r="L557" s="169"/>
      <c r="M557" s="169"/>
      <c r="N557" s="172"/>
    </row>
    <row r="558" spans="1:14" ht="15">
      <c r="A558" s="24"/>
      <c r="B558" s="90"/>
      <c r="C558" s="162"/>
      <c r="D558" s="117"/>
      <c r="E558" s="24"/>
      <c r="F558" s="169"/>
      <c r="G558" s="169"/>
      <c r="H558" s="169"/>
      <c r="I558" s="169"/>
      <c r="J558" s="169"/>
      <c r="K558" s="169"/>
      <c r="L558" s="169"/>
      <c r="M558" s="169"/>
      <c r="N558" s="172"/>
    </row>
    <row r="559" spans="1:14" ht="15">
      <c r="A559" s="24"/>
      <c r="B559" s="90"/>
      <c r="C559" s="162"/>
      <c r="D559" s="117"/>
      <c r="E559" s="24"/>
      <c r="F559" s="169"/>
      <c r="G559" s="169"/>
      <c r="H559" s="169"/>
      <c r="I559" s="169"/>
      <c r="J559" s="169"/>
      <c r="K559" s="169"/>
      <c r="L559" s="169"/>
      <c r="M559" s="169"/>
      <c r="N559" s="172"/>
    </row>
    <row r="560" spans="1:14" ht="15">
      <c r="A560" s="24"/>
      <c r="B560" s="90"/>
      <c r="C560" s="162"/>
      <c r="D560" s="117"/>
      <c r="E560" s="24"/>
      <c r="F560" s="169"/>
      <c r="G560" s="169"/>
      <c r="H560" s="169"/>
      <c r="I560" s="169"/>
      <c r="J560" s="169"/>
      <c r="K560" s="169"/>
      <c r="L560" s="169"/>
      <c r="M560" s="169"/>
      <c r="N560" s="172"/>
    </row>
    <row r="561" spans="1:14" ht="15">
      <c r="A561" s="24"/>
      <c r="B561" s="90"/>
      <c r="C561" s="162"/>
      <c r="D561" s="117"/>
      <c r="E561" s="24"/>
      <c r="F561" s="169"/>
      <c r="G561" s="169"/>
      <c r="H561" s="169"/>
      <c r="I561" s="169"/>
      <c r="J561" s="169"/>
      <c r="K561" s="169"/>
      <c r="L561" s="169"/>
      <c r="M561" s="169"/>
      <c r="N561" s="172"/>
    </row>
    <row r="562" spans="1:14" ht="15">
      <c r="A562" s="24"/>
      <c r="B562" s="90"/>
      <c r="C562" s="162"/>
      <c r="D562" s="117"/>
      <c r="E562" s="24"/>
      <c r="F562" s="169"/>
      <c r="G562" s="169"/>
      <c r="H562" s="169"/>
      <c r="I562" s="169"/>
      <c r="J562" s="169"/>
      <c r="K562" s="169"/>
      <c r="L562" s="169"/>
      <c r="M562" s="169"/>
      <c r="N562" s="172"/>
    </row>
    <row r="563" spans="1:14" ht="15">
      <c r="A563" s="24"/>
      <c r="B563" s="90"/>
      <c r="C563" s="162"/>
      <c r="D563" s="117"/>
      <c r="E563" s="24"/>
      <c r="F563" s="169"/>
      <c r="G563" s="169"/>
      <c r="H563" s="169"/>
      <c r="I563" s="169"/>
      <c r="J563" s="169"/>
      <c r="K563" s="169"/>
      <c r="L563" s="169"/>
      <c r="M563" s="169"/>
      <c r="N563" s="172"/>
    </row>
    <row r="564" spans="1:14" ht="15">
      <c r="A564" s="24"/>
      <c r="B564" s="90"/>
      <c r="C564" s="162"/>
      <c r="D564" s="117"/>
      <c r="E564" s="24"/>
      <c r="F564" s="169"/>
      <c r="G564" s="169"/>
      <c r="H564" s="169"/>
      <c r="I564" s="169"/>
      <c r="J564" s="169"/>
      <c r="K564" s="169"/>
      <c r="L564" s="169"/>
      <c r="M564" s="169"/>
      <c r="N564" s="172"/>
    </row>
    <row r="565" spans="1:14" ht="15">
      <c r="A565" s="24"/>
      <c r="B565" s="90"/>
      <c r="C565" s="162"/>
      <c r="D565" s="117"/>
      <c r="E565" s="24"/>
      <c r="F565" s="169"/>
      <c r="G565" s="169"/>
      <c r="H565" s="169"/>
      <c r="I565" s="169"/>
      <c r="J565" s="169"/>
      <c r="K565" s="169"/>
      <c r="L565" s="169"/>
      <c r="M565" s="169"/>
      <c r="N565" s="172"/>
    </row>
    <row r="566" spans="1:14" ht="15">
      <c r="A566" s="24"/>
      <c r="B566" s="90"/>
      <c r="C566" s="162"/>
      <c r="D566" s="117"/>
      <c r="E566" s="24"/>
      <c r="F566" s="169"/>
      <c r="G566" s="169"/>
      <c r="H566" s="169"/>
      <c r="I566" s="169"/>
      <c r="J566" s="169"/>
      <c r="K566" s="169"/>
      <c r="L566" s="169"/>
      <c r="M566" s="169"/>
      <c r="N566" s="172"/>
    </row>
    <row r="567" spans="1:14" ht="15">
      <c r="A567" s="24"/>
      <c r="B567" s="90"/>
      <c r="C567" s="162"/>
      <c r="D567" s="117"/>
      <c r="E567" s="24"/>
      <c r="F567" s="169"/>
      <c r="G567" s="169"/>
      <c r="H567" s="169"/>
      <c r="I567" s="169"/>
      <c r="J567" s="169"/>
      <c r="K567" s="169"/>
      <c r="L567" s="169"/>
      <c r="M567" s="169"/>
      <c r="N567" s="172"/>
    </row>
    <row r="568" spans="1:14" ht="15">
      <c r="A568" s="24"/>
      <c r="B568" s="90"/>
      <c r="C568" s="162"/>
      <c r="D568" s="117"/>
      <c r="E568" s="24"/>
      <c r="F568" s="169"/>
      <c r="G568" s="169"/>
      <c r="H568" s="169"/>
      <c r="I568" s="169"/>
      <c r="J568" s="169"/>
      <c r="K568" s="169"/>
      <c r="L568" s="169"/>
      <c r="M568" s="169"/>
      <c r="N568" s="172"/>
    </row>
    <row r="569" spans="1:14" ht="15">
      <c r="A569" s="24"/>
      <c r="B569" s="90"/>
      <c r="C569" s="162"/>
      <c r="D569" s="117"/>
      <c r="E569" s="24"/>
      <c r="F569" s="169"/>
      <c r="G569" s="169"/>
      <c r="H569" s="169"/>
      <c r="I569" s="169"/>
      <c r="J569" s="169"/>
      <c r="K569" s="169"/>
      <c r="L569" s="169"/>
      <c r="M569" s="169"/>
      <c r="N569" s="172"/>
    </row>
    <row r="570" spans="1:14" ht="15">
      <c r="A570" s="24"/>
      <c r="B570" s="90"/>
      <c r="C570" s="162"/>
      <c r="D570" s="117"/>
      <c r="E570" s="24"/>
      <c r="F570" s="169"/>
      <c r="G570" s="169"/>
      <c r="H570" s="169"/>
      <c r="I570" s="169"/>
      <c r="J570" s="169"/>
      <c r="K570" s="169"/>
      <c r="L570" s="169"/>
      <c r="M570" s="169"/>
      <c r="N570" s="172"/>
    </row>
    <row r="571" spans="1:14" ht="15">
      <c r="A571" s="24"/>
      <c r="B571" s="90"/>
      <c r="C571" s="162"/>
      <c r="D571" s="117"/>
      <c r="E571" s="24"/>
      <c r="F571" s="169"/>
      <c r="G571" s="169"/>
      <c r="H571" s="169"/>
      <c r="I571" s="169"/>
      <c r="J571" s="169"/>
      <c r="K571" s="169"/>
      <c r="L571" s="169"/>
      <c r="M571" s="169"/>
      <c r="N571" s="172"/>
    </row>
    <row r="572" spans="1:14" ht="15">
      <c r="A572" s="24"/>
      <c r="B572" s="90"/>
      <c r="C572" s="162"/>
      <c r="D572" s="117"/>
      <c r="E572" s="24"/>
      <c r="F572" s="169"/>
      <c r="G572" s="169"/>
      <c r="H572" s="169"/>
      <c r="I572" s="169"/>
      <c r="J572" s="169"/>
      <c r="K572" s="169"/>
      <c r="L572" s="169"/>
      <c r="M572" s="169"/>
      <c r="N572" s="172"/>
    </row>
    <row r="573" spans="1:14" ht="15">
      <c r="A573" s="24"/>
      <c r="B573" s="90"/>
      <c r="C573" s="162"/>
      <c r="D573" s="117"/>
      <c r="E573" s="24"/>
      <c r="F573" s="169"/>
      <c r="G573" s="169"/>
      <c r="H573" s="169"/>
      <c r="I573" s="169"/>
      <c r="J573" s="169"/>
      <c r="K573" s="169"/>
      <c r="L573" s="169"/>
      <c r="M573" s="169"/>
      <c r="N573" s="172"/>
    </row>
    <row r="574" spans="1:14" ht="15">
      <c r="A574" s="24"/>
      <c r="B574" s="90"/>
      <c r="C574" s="162"/>
      <c r="D574" s="117"/>
      <c r="E574" s="24"/>
      <c r="F574" s="169"/>
      <c r="G574" s="169"/>
      <c r="H574" s="169"/>
      <c r="I574" s="169"/>
      <c r="J574" s="169"/>
      <c r="K574" s="169"/>
      <c r="L574" s="169"/>
      <c r="M574" s="169"/>
      <c r="N574" s="172"/>
    </row>
    <row r="575" spans="1:14" ht="15">
      <c r="A575" s="24"/>
      <c r="B575" s="90"/>
      <c r="C575" s="162"/>
      <c r="D575" s="117"/>
      <c r="E575" s="24"/>
      <c r="F575" s="169"/>
      <c r="G575" s="169"/>
      <c r="H575" s="169"/>
      <c r="I575" s="169"/>
      <c r="J575" s="169"/>
      <c r="K575" s="169"/>
      <c r="L575" s="169"/>
      <c r="M575" s="169"/>
      <c r="N575" s="172"/>
    </row>
    <row r="576" spans="1:14" ht="15">
      <c r="A576" s="24"/>
      <c r="B576" s="90"/>
      <c r="C576" s="162"/>
      <c r="D576" s="117"/>
      <c r="E576" s="24"/>
      <c r="F576" s="169"/>
      <c r="G576" s="169"/>
      <c r="H576" s="169"/>
      <c r="I576" s="169"/>
      <c r="J576" s="169"/>
      <c r="K576" s="169"/>
      <c r="L576" s="169"/>
      <c r="M576" s="169"/>
      <c r="N576" s="172"/>
    </row>
    <row r="577" spans="1:14" ht="15">
      <c r="A577" s="24"/>
      <c r="B577" s="90"/>
      <c r="C577" s="162"/>
      <c r="D577" s="117"/>
      <c r="E577" s="24"/>
      <c r="F577" s="169"/>
      <c r="G577" s="169"/>
      <c r="H577" s="169"/>
      <c r="I577" s="169"/>
      <c r="J577" s="169"/>
      <c r="K577" s="169"/>
      <c r="L577" s="169"/>
      <c r="M577" s="169"/>
      <c r="N577" s="172"/>
    </row>
    <row r="578" spans="1:14" ht="15">
      <c r="A578" s="24"/>
      <c r="B578" s="90"/>
      <c r="C578" s="162"/>
      <c r="D578" s="117"/>
      <c r="E578" s="24"/>
      <c r="F578" s="169"/>
      <c r="G578" s="169"/>
      <c r="H578" s="169"/>
      <c r="I578" s="169"/>
      <c r="J578" s="169"/>
      <c r="K578" s="169"/>
      <c r="L578" s="169"/>
      <c r="M578" s="169"/>
      <c r="N578" s="172"/>
    </row>
    <row r="579" spans="1:14" ht="15">
      <c r="A579" s="24"/>
      <c r="B579" s="90"/>
      <c r="C579" s="162"/>
      <c r="D579" s="117"/>
      <c r="E579" s="24"/>
      <c r="F579" s="169"/>
      <c r="G579" s="169"/>
      <c r="H579" s="169"/>
      <c r="I579" s="169"/>
      <c r="J579" s="169"/>
      <c r="K579" s="169"/>
      <c r="L579" s="169"/>
      <c r="M579" s="169"/>
      <c r="N579" s="172"/>
    </row>
    <row r="580" spans="1:14" ht="15">
      <c r="A580" s="24"/>
      <c r="B580" s="90"/>
      <c r="C580" s="162"/>
      <c r="D580" s="117"/>
      <c r="E580" s="24"/>
      <c r="F580" s="169"/>
      <c r="G580" s="169"/>
      <c r="H580" s="169"/>
      <c r="I580" s="169"/>
      <c r="J580" s="169"/>
      <c r="K580" s="169"/>
      <c r="L580" s="169"/>
      <c r="M580" s="169"/>
      <c r="N580" s="172"/>
    </row>
    <row r="581" spans="1:14" ht="15">
      <c r="A581" s="24"/>
      <c r="B581" s="90"/>
      <c r="C581" s="162"/>
      <c r="D581" s="117"/>
      <c r="E581" s="24"/>
      <c r="F581" s="169"/>
      <c r="G581" s="169"/>
      <c r="H581" s="169"/>
      <c r="I581" s="169"/>
      <c r="J581" s="169"/>
      <c r="K581" s="169"/>
      <c r="L581" s="169"/>
      <c r="M581" s="169"/>
      <c r="N581" s="172"/>
    </row>
    <row r="582" spans="1:14" ht="15">
      <c r="A582" s="24"/>
      <c r="B582" s="90"/>
      <c r="C582" s="162"/>
      <c r="D582" s="117"/>
      <c r="E582" s="24"/>
      <c r="F582" s="169"/>
      <c r="G582" s="169"/>
      <c r="H582" s="169"/>
      <c r="I582" s="169"/>
      <c r="J582" s="169"/>
      <c r="K582" s="169"/>
      <c r="L582" s="169"/>
      <c r="M582" s="169"/>
      <c r="N582" s="172"/>
    </row>
    <row r="583" spans="1:14" ht="15">
      <c r="A583" s="24"/>
      <c r="B583" s="90"/>
      <c r="C583" s="162"/>
      <c r="D583" s="117"/>
      <c r="E583" s="24"/>
      <c r="F583" s="169"/>
      <c r="G583" s="169"/>
      <c r="H583" s="169"/>
      <c r="I583" s="169"/>
      <c r="J583" s="169"/>
      <c r="K583" s="169"/>
      <c r="L583" s="169"/>
      <c r="M583" s="169"/>
      <c r="N583" s="172"/>
    </row>
    <row r="584" spans="1:14" ht="15">
      <c r="A584" s="24"/>
      <c r="B584" s="90"/>
      <c r="C584" s="162"/>
      <c r="D584" s="117"/>
      <c r="E584" s="24"/>
      <c r="F584" s="169"/>
      <c r="G584" s="169"/>
      <c r="H584" s="169"/>
      <c r="I584" s="169"/>
      <c r="J584" s="169"/>
      <c r="K584" s="169"/>
      <c r="L584" s="169"/>
      <c r="M584" s="169"/>
      <c r="N584" s="172"/>
    </row>
    <row r="585" spans="1:14" ht="15">
      <c r="A585" s="24"/>
      <c r="B585" s="90"/>
      <c r="C585" s="162"/>
      <c r="D585" s="117"/>
      <c r="E585" s="24"/>
      <c r="F585" s="169"/>
      <c r="G585" s="169"/>
      <c r="H585" s="169"/>
      <c r="I585" s="169"/>
      <c r="J585" s="169"/>
      <c r="K585" s="169"/>
      <c r="L585" s="169"/>
      <c r="M585" s="169"/>
      <c r="N585" s="172"/>
    </row>
    <row r="586" spans="1:14" ht="15">
      <c r="A586" s="24"/>
      <c r="B586" s="90"/>
      <c r="C586" s="162"/>
      <c r="D586" s="117"/>
      <c r="E586" s="24"/>
      <c r="F586" s="169"/>
      <c r="G586" s="169"/>
      <c r="H586" s="169"/>
      <c r="I586" s="169"/>
      <c r="J586" s="169"/>
      <c r="K586" s="169"/>
      <c r="L586" s="169"/>
      <c r="M586" s="169"/>
      <c r="N586" s="172"/>
    </row>
    <row r="587" spans="1:14" ht="15">
      <c r="A587" s="24"/>
      <c r="B587" s="90"/>
      <c r="C587" s="162"/>
      <c r="D587" s="117"/>
      <c r="E587" s="24"/>
      <c r="F587" s="169"/>
      <c r="G587" s="169"/>
      <c r="H587" s="169"/>
      <c r="I587" s="169"/>
      <c r="J587" s="169"/>
      <c r="K587" s="169"/>
      <c r="L587" s="169"/>
      <c r="M587" s="169"/>
      <c r="N587" s="172"/>
    </row>
    <row r="588" spans="1:14" ht="15">
      <c r="A588" s="24"/>
      <c r="B588" s="90"/>
      <c r="C588" s="162"/>
      <c r="D588" s="117"/>
      <c r="E588" s="24"/>
      <c r="F588" s="169"/>
      <c r="G588" s="169"/>
      <c r="H588" s="169"/>
      <c r="I588" s="169"/>
      <c r="J588" s="169"/>
      <c r="K588" s="169"/>
      <c r="L588" s="169"/>
      <c r="M588" s="169"/>
      <c r="N588" s="172"/>
    </row>
    <row r="589" spans="1:14" ht="15">
      <c r="A589" s="24"/>
      <c r="B589" s="90"/>
      <c r="C589" s="162"/>
      <c r="D589" s="117"/>
      <c r="E589" s="24"/>
      <c r="F589" s="169"/>
      <c r="G589" s="169"/>
      <c r="H589" s="169"/>
      <c r="I589" s="169"/>
      <c r="J589" s="169"/>
      <c r="K589" s="169"/>
      <c r="L589" s="169"/>
      <c r="M589" s="169"/>
      <c r="N589" s="172"/>
    </row>
    <row r="590" spans="1:14" ht="15">
      <c r="A590" s="24"/>
      <c r="B590" s="90"/>
      <c r="C590" s="162"/>
      <c r="D590" s="117"/>
      <c r="E590" s="24"/>
      <c r="F590" s="169"/>
      <c r="G590" s="169"/>
      <c r="H590" s="169"/>
      <c r="I590" s="169"/>
      <c r="J590" s="169"/>
      <c r="K590" s="169"/>
      <c r="L590" s="169"/>
      <c r="M590" s="169"/>
      <c r="N590" s="172"/>
    </row>
    <row r="591" spans="1:14" ht="15">
      <c r="A591" s="24"/>
      <c r="B591" s="90"/>
      <c r="C591" s="162"/>
      <c r="D591" s="117"/>
      <c r="E591" s="24"/>
      <c r="F591" s="169"/>
      <c r="G591" s="169"/>
      <c r="H591" s="169"/>
      <c r="I591" s="169"/>
      <c r="J591" s="169"/>
      <c r="K591" s="169"/>
      <c r="L591" s="169"/>
      <c r="M591" s="169"/>
      <c r="N591" s="172"/>
    </row>
    <row r="592" spans="1:14" ht="15">
      <c r="A592" s="24"/>
      <c r="B592" s="90"/>
      <c r="C592" s="162"/>
      <c r="D592" s="117"/>
      <c r="E592" s="24"/>
      <c r="F592" s="169"/>
      <c r="G592" s="169"/>
      <c r="H592" s="169"/>
      <c r="I592" s="169"/>
      <c r="J592" s="169"/>
      <c r="K592" s="169"/>
      <c r="L592" s="169"/>
      <c r="M592" s="169"/>
      <c r="N592" s="172"/>
    </row>
    <row r="593" spans="1:14" ht="15">
      <c r="A593" s="24"/>
      <c r="B593" s="90"/>
      <c r="C593" s="162"/>
      <c r="D593" s="117"/>
      <c r="E593" s="24"/>
      <c r="F593" s="169"/>
      <c r="G593" s="169"/>
      <c r="H593" s="169"/>
      <c r="I593" s="169"/>
      <c r="J593" s="169"/>
      <c r="K593" s="169"/>
      <c r="L593" s="169"/>
      <c r="M593" s="169"/>
      <c r="N593" s="172"/>
    </row>
    <row r="594" spans="1:14" ht="15">
      <c r="A594" s="24"/>
      <c r="B594" s="90"/>
      <c r="C594" s="162"/>
      <c r="D594" s="117"/>
      <c r="E594" s="24"/>
      <c r="F594" s="169"/>
      <c r="G594" s="169"/>
      <c r="H594" s="169"/>
      <c r="I594" s="169"/>
      <c r="J594" s="169"/>
      <c r="K594" s="169"/>
      <c r="L594" s="169"/>
      <c r="M594" s="169"/>
      <c r="N594" s="172"/>
    </row>
    <row r="595" spans="1:14" ht="15">
      <c r="A595" s="24"/>
      <c r="B595" s="90"/>
      <c r="C595" s="162"/>
      <c r="D595" s="117"/>
      <c r="E595" s="24"/>
      <c r="F595" s="169"/>
      <c r="G595" s="169"/>
      <c r="H595" s="169"/>
      <c r="I595" s="169"/>
      <c r="J595" s="169"/>
      <c r="K595" s="169"/>
      <c r="L595" s="169"/>
      <c r="M595" s="169"/>
      <c r="N595" s="172"/>
    </row>
    <row r="596" spans="1:14" ht="15">
      <c r="A596" s="24"/>
      <c r="B596" s="90"/>
      <c r="C596" s="162"/>
      <c r="D596" s="117"/>
      <c r="E596" s="24"/>
      <c r="F596" s="169"/>
      <c r="G596" s="169"/>
      <c r="H596" s="169"/>
      <c r="I596" s="169"/>
      <c r="J596" s="169"/>
      <c r="K596" s="169"/>
      <c r="L596" s="169"/>
      <c r="M596" s="169"/>
      <c r="N596" s="172"/>
    </row>
    <row r="597" spans="1:14" ht="15">
      <c r="A597" s="24"/>
      <c r="B597" s="90"/>
      <c r="C597" s="162"/>
      <c r="D597" s="117"/>
      <c r="E597" s="24"/>
      <c r="F597" s="169"/>
      <c r="G597" s="169"/>
      <c r="H597" s="169"/>
      <c r="I597" s="169"/>
      <c r="J597" s="169"/>
      <c r="K597" s="169"/>
      <c r="L597" s="169"/>
      <c r="M597" s="169"/>
      <c r="N597" s="172"/>
    </row>
    <row r="598" spans="1:14" ht="15">
      <c r="A598" s="24"/>
      <c r="B598" s="90"/>
      <c r="C598" s="162"/>
      <c r="D598" s="117"/>
      <c r="E598" s="24"/>
      <c r="F598" s="169"/>
      <c r="G598" s="169"/>
      <c r="H598" s="169"/>
      <c r="I598" s="169"/>
      <c r="J598" s="169"/>
      <c r="K598" s="169"/>
      <c r="L598" s="169"/>
      <c r="M598" s="169"/>
      <c r="N598" s="172"/>
    </row>
    <row r="599" spans="1:14" ht="15">
      <c r="A599" s="24"/>
      <c r="B599" s="90"/>
      <c r="C599" s="162"/>
      <c r="D599" s="117"/>
      <c r="E599" s="24"/>
      <c r="F599" s="169"/>
      <c r="G599" s="169"/>
      <c r="H599" s="169"/>
      <c r="I599" s="169"/>
      <c r="J599" s="169"/>
      <c r="K599" s="169"/>
      <c r="L599" s="169"/>
      <c r="M599" s="169"/>
      <c r="N599" s="172"/>
    </row>
    <row r="600" spans="1:14" ht="15">
      <c r="A600" s="24"/>
      <c r="B600" s="90"/>
      <c r="C600" s="162"/>
      <c r="D600" s="117"/>
      <c r="E600" s="24"/>
      <c r="F600" s="169"/>
      <c r="G600" s="169"/>
      <c r="H600" s="169"/>
      <c r="I600" s="169"/>
      <c r="J600" s="169"/>
      <c r="K600" s="169"/>
      <c r="L600" s="169"/>
      <c r="M600" s="169"/>
      <c r="N600" s="172"/>
    </row>
    <row r="601" spans="1:14" ht="15">
      <c r="A601" s="24"/>
      <c r="B601" s="90"/>
      <c r="C601" s="162"/>
      <c r="D601" s="117"/>
      <c r="E601" s="24"/>
      <c r="F601" s="169"/>
      <c r="G601" s="169"/>
      <c r="H601" s="169"/>
      <c r="I601" s="169"/>
      <c r="J601" s="169"/>
      <c r="K601" s="169"/>
      <c r="L601" s="169"/>
      <c r="M601" s="169"/>
      <c r="N601" s="172"/>
    </row>
    <row r="602" spans="1:14" ht="15">
      <c r="A602" s="24"/>
      <c r="B602" s="90"/>
      <c r="C602" s="162"/>
      <c r="D602" s="117"/>
      <c r="E602" s="24"/>
      <c r="F602" s="169"/>
      <c r="G602" s="169"/>
      <c r="H602" s="169"/>
      <c r="I602" s="169"/>
      <c r="J602" s="169"/>
      <c r="K602" s="169"/>
      <c r="L602" s="169"/>
      <c r="M602" s="169"/>
      <c r="N602" s="172"/>
    </row>
    <row r="603" spans="1:14" ht="15">
      <c r="A603" s="24"/>
      <c r="B603" s="90"/>
      <c r="C603" s="162"/>
      <c r="D603" s="117"/>
      <c r="E603" s="24"/>
      <c r="F603" s="169"/>
      <c r="G603" s="169"/>
      <c r="H603" s="169"/>
      <c r="I603" s="169"/>
      <c r="J603" s="169"/>
      <c r="K603" s="169"/>
      <c r="L603" s="169"/>
      <c r="M603" s="169"/>
      <c r="N603" s="172"/>
    </row>
    <row r="604" spans="1:14" ht="15">
      <c r="A604" s="24"/>
      <c r="B604" s="90"/>
      <c r="C604" s="162"/>
      <c r="D604" s="117"/>
      <c r="E604" s="24"/>
      <c r="F604" s="169"/>
      <c r="G604" s="169"/>
      <c r="H604" s="169"/>
      <c r="I604" s="169"/>
      <c r="J604" s="169"/>
      <c r="K604" s="169"/>
      <c r="L604" s="169"/>
      <c r="M604" s="169"/>
      <c r="N604" s="172"/>
    </row>
    <row r="605" spans="1:14" ht="15">
      <c r="A605" s="24"/>
      <c r="B605" s="90"/>
      <c r="C605" s="162"/>
      <c r="D605" s="117"/>
      <c r="E605" s="24"/>
      <c r="F605" s="169"/>
      <c r="G605" s="169"/>
      <c r="H605" s="169"/>
      <c r="I605" s="169"/>
      <c r="J605" s="169"/>
      <c r="K605" s="169"/>
      <c r="L605" s="169"/>
      <c r="M605" s="169"/>
      <c r="N605" s="172"/>
    </row>
    <row r="606" spans="1:14" ht="15">
      <c r="A606" s="24"/>
      <c r="B606" s="90"/>
      <c r="C606" s="162"/>
      <c r="D606" s="117"/>
      <c r="E606" s="24"/>
      <c r="F606" s="169"/>
      <c r="G606" s="169"/>
      <c r="H606" s="169"/>
      <c r="I606" s="169"/>
      <c r="J606" s="169"/>
      <c r="K606" s="169"/>
      <c r="L606" s="169"/>
      <c r="M606" s="169"/>
      <c r="N606" s="172"/>
    </row>
    <row r="607" spans="1:14" ht="15">
      <c r="A607" s="24"/>
      <c r="B607" s="90"/>
      <c r="C607" s="162"/>
      <c r="D607" s="117"/>
      <c r="E607" s="24"/>
      <c r="F607" s="169"/>
      <c r="G607" s="169"/>
      <c r="H607" s="169"/>
      <c r="I607" s="169"/>
      <c r="J607" s="169"/>
      <c r="K607" s="169"/>
      <c r="L607" s="169"/>
      <c r="M607" s="169"/>
      <c r="N607" s="172"/>
    </row>
    <row r="608" spans="1:14" ht="15">
      <c r="A608" s="24"/>
      <c r="B608" s="90"/>
      <c r="C608" s="162"/>
      <c r="D608" s="117"/>
      <c r="E608" s="24"/>
      <c r="F608" s="169"/>
      <c r="G608" s="169"/>
      <c r="H608" s="169"/>
      <c r="I608" s="169"/>
      <c r="J608" s="169"/>
      <c r="K608" s="169"/>
      <c r="L608" s="169"/>
      <c r="M608" s="169"/>
      <c r="N608" s="172"/>
    </row>
    <row r="609" spans="1:14" ht="15">
      <c r="A609" s="24"/>
      <c r="B609" s="90"/>
      <c r="C609" s="162"/>
      <c r="D609" s="117"/>
      <c r="E609" s="24"/>
      <c r="F609" s="169"/>
      <c r="G609" s="169"/>
      <c r="H609" s="169"/>
      <c r="I609" s="169"/>
      <c r="J609" s="169"/>
      <c r="K609" s="169"/>
      <c r="L609" s="169"/>
      <c r="M609" s="169"/>
      <c r="N609" s="172"/>
    </row>
    <row r="610" spans="1:14" ht="15">
      <c r="A610" s="24"/>
      <c r="B610" s="90"/>
      <c r="C610" s="162"/>
      <c r="D610" s="117"/>
      <c r="E610" s="24"/>
      <c r="F610" s="169"/>
      <c r="G610" s="169"/>
      <c r="H610" s="169"/>
      <c r="I610" s="169"/>
      <c r="J610" s="169"/>
      <c r="K610" s="169"/>
      <c r="L610" s="169"/>
      <c r="M610" s="169"/>
      <c r="N610" s="172"/>
    </row>
    <row r="611" spans="1:14" ht="15">
      <c r="A611" s="24"/>
      <c r="B611" s="90"/>
      <c r="C611" s="162"/>
      <c r="D611" s="117"/>
      <c r="E611" s="24"/>
      <c r="F611" s="169"/>
      <c r="G611" s="169"/>
      <c r="H611" s="169"/>
      <c r="I611" s="169"/>
      <c r="J611" s="169"/>
      <c r="K611" s="169"/>
      <c r="L611" s="169"/>
      <c r="M611" s="169"/>
      <c r="N611" s="172"/>
    </row>
    <row r="612" spans="1:14" ht="15">
      <c r="A612" s="24"/>
      <c r="B612" s="90"/>
      <c r="C612" s="162"/>
      <c r="D612" s="117"/>
      <c r="E612" s="24"/>
      <c r="F612" s="169"/>
      <c r="G612" s="169"/>
      <c r="H612" s="169"/>
      <c r="I612" s="169"/>
      <c r="J612" s="169"/>
      <c r="K612" s="169"/>
      <c r="L612" s="169"/>
      <c r="M612" s="169"/>
      <c r="N612" s="172"/>
    </row>
    <row r="613" spans="1:14" ht="15">
      <c r="A613" s="24"/>
      <c r="B613" s="90"/>
      <c r="C613" s="162"/>
      <c r="D613" s="117"/>
      <c r="E613" s="24"/>
      <c r="F613" s="169"/>
      <c r="G613" s="169"/>
      <c r="H613" s="169"/>
      <c r="I613" s="169"/>
      <c r="J613" s="169"/>
      <c r="K613" s="169"/>
      <c r="L613" s="169"/>
      <c r="M613" s="169"/>
      <c r="N613" s="172"/>
    </row>
    <row r="614" spans="1:14" ht="15">
      <c r="A614" s="24"/>
      <c r="B614" s="90"/>
      <c r="C614" s="162"/>
      <c r="D614" s="117"/>
      <c r="E614" s="24"/>
      <c r="F614" s="169"/>
      <c r="G614" s="169"/>
      <c r="H614" s="169"/>
      <c r="I614" s="169"/>
      <c r="J614" s="169"/>
      <c r="K614" s="169"/>
      <c r="L614" s="169"/>
      <c r="M614" s="169"/>
      <c r="N614" s="172"/>
    </row>
    <row r="615" spans="1:14" ht="15">
      <c r="A615" s="24"/>
      <c r="B615" s="90"/>
      <c r="C615" s="162"/>
      <c r="D615" s="117"/>
      <c r="E615" s="24"/>
      <c r="F615" s="169"/>
      <c r="G615" s="169"/>
      <c r="H615" s="169"/>
      <c r="I615" s="169"/>
      <c r="J615" s="169"/>
      <c r="K615" s="169"/>
      <c r="L615" s="169"/>
      <c r="M615" s="169"/>
      <c r="N615" s="172"/>
    </row>
    <row r="616" spans="1:14" ht="15">
      <c r="A616" s="24"/>
      <c r="B616" s="90"/>
      <c r="C616" s="162"/>
      <c r="D616" s="117"/>
      <c r="E616" s="24"/>
      <c r="F616" s="169"/>
      <c r="G616" s="169"/>
      <c r="H616" s="169"/>
      <c r="I616" s="169"/>
      <c r="J616" s="169"/>
      <c r="K616" s="169"/>
      <c r="L616" s="169"/>
      <c r="M616" s="169"/>
      <c r="N616" s="172"/>
    </row>
    <row r="617" spans="1:14" ht="15">
      <c r="A617" s="24"/>
      <c r="B617" s="90"/>
      <c r="C617" s="162"/>
      <c r="D617" s="117"/>
      <c r="E617" s="24"/>
      <c r="F617" s="169"/>
      <c r="G617" s="169"/>
      <c r="H617" s="169"/>
      <c r="I617" s="169"/>
      <c r="J617" s="169"/>
      <c r="K617" s="169"/>
      <c r="L617" s="169"/>
      <c r="M617" s="169"/>
      <c r="N617" s="172"/>
    </row>
    <row r="618" spans="1:14" ht="15">
      <c r="A618" s="24"/>
      <c r="B618" s="90"/>
      <c r="C618" s="162"/>
      <c r="D618" s="117"/>
      <c r="E618" s="24"/>
      <c r="F618" s="169"/>
      <c r="G618" s="169"/>
      <c r="H618" s="169"/>
      <c r="I618" s="169"/>
      <c r="J618" s="169"/>
      <c r="K618" s="169"/>
      <c r="L618" s="169"/>
      <c r="M618" s="169"/>
      <c r="N618" s="172"/>
    </row>
    <row r="619" spans="1:14" ht="15">
      <c r="A619" s="24"/>
      <c r="B619" s="90"/>
      <c r="C619" s="162"/>
      <c r="D619" s="117"/>
      <c r="E619" s="24"/>
      <c r="F619" s="169"/>
      <c r="G619" s="169"/>
      <c r="H619" s="169"/>
      <c r="I619" s="169"/>
      <c r="J619" s="169"/>
      <c r="K619" s="169"/>
      <c r="L619" s="169"/>
      <c r="M619" s="169"/>
      <c r="N619" s="172"/>
    </row>
    <row r="620" spans="1:14" ht="15">
      <c r="A620" s="24"/>
      <c r="B620" s="90"/>
      <c r="C620" s="162"/>
      <c r="D620" s="117"/>
      <c r="E620" s="24"/>
      <c r="F620" s="169"/>
      <c r="G620" s="169"/>
      <c r="H620" s="169"/>
      <c r="I620" s="169"/>
      <c r="J620" s="169"/>
      <c r="K620" s="169"/>
      <c r="L620" s="169"/>
      <c r="M620" s="169"/>
      <c r="N620" s="172"/>
    </row>
    <row r="621" spans="1:14" ht="15">
      <c r="A621" s="24"/>
      <c r="B621" s="90"/>
      <c r="C621" s="162"/>
      <c r="D621" s="117"/>
      <c r="E621" s="24"/>
      <c r="F621" s="169"/>
      <c r="G621" s="169"/>
      <c r="H621" s="169"/>
      <c r="I621" s="169"/>
      <c r="J621" s="169"/>
      <c r="K621" s="169"/>
      <c r="L621" s="169"/>
      <c r="M621" s="169"/>
      <c r="N621" s="172"/>
    </row>
    <row r="622" spans="1:14" ht="15">
      <c r="A622" s="24"/>
      <c r="B622" s="90"/>
      <c r="C622" s="162"/>
      <c r="D622" s="117"/>
      <c r="E622" s="24"/>
      <c r="F622" s="169"/>
      <c r="G622" s="169"/>
      <c r="H622" s="169"/>
      <c r="I622" s="169"/>
      <c r="J622" s="169"/>
      <c r="K622" s="169"/>
      <c r="L622" s="169"/>
      <c r="M622" s="169"/>
      <c r="N622" s="172"/>
    </row>
    <row r="623" spans="1:14" ht="15">
      <c r="A623" s="24"/>
      <c r="B623" s="90"/>
      <c r="C623" s="162"/>
      <c r="D623" s="117"/>
      <c r="E623" s="24"/>
      <c r="F623" s="169"/>
      <c r="G623" s="169"/>
      <c r="H623" s="169"/>
      <c r="I623" s="169"/>
      <c r="J623" s="169"/>
      <c r="K623" s="169"/>
      <c r="L623" s="169"/>
      <c r="M623" s="169"/>
      <c r="N623" s="172"/>
    </row>
    <row r="624" spans="1:14" ht="15">
      <c r="A624" s="24"/>
      <c r="B624" s="90"/>
      <c r="C624" s="162"/>
      <c r="D624" s="117"/>
      <c r="E624" s="24"/>
      <c r="F624" s="169"/>
      <c r="G624" s="169"/>
      <c r="H624" s="169"/>
      <c r="I624" s="169"/>
      <c r="J624" s="169"/>
      <c r="K624" s="169"/>
      <c r="L624" s="169"/>
      <c r="M624" s="169"/>
      <c r="N624" s="172"/>
    </row>
    <row r="625" spans="1:14" ht="15">
      <c r="A625" s="24"/>
      <c r="B625" s="90"/>
      <c r="C625" s="162"/>
      <c r="D625" s="117"/>
      <c r="E625" s="24"/>
      <c r="F625" s="169"/>
      <c r="G625" s="169"/>
      <c r="H625" s="169"/>
      <c r="I625" s="169"/>
      <c r="J625" s="169"/>
      <c r="K625" s="169"/>
      <c r="L625" s="169"/>
      <c r="M625" s="169"/>
      <c r="N625" s="172"/>
    </row>
    <row r="626" spans="1:14" ht="15">
      <c r="A626" s="24"/>
      <c r="B626" s="90"/>
      <c r="C626" s="162"/>
      <c r="D626" s="117"/>
      <c r="E626" s="24"/>
      <c r="F626" s="169"/>
      <c r="G626" s="169"/>
      <c r="H626" s="169"/>
      <c r="I626" s="169"/>
      <c r="J626" s="169"/>
      <c r="K626" s="169"/>
      <c r="L626" s="169"/>
      <c r="M626" s="169"/>
      <c r="N626" s="172"/>
    </row>
    <row r="627" spans="1:14" ht="15">
      <c r="A627" s="24"/>
      <c r="B627" s="90"/>
      <c r="C627" s="162"/>
      <c r="D627" s="117"/>
      <c r="E627" s="24"/>
      <c r="F627" s="169"/>
      <c r="G627" s="169"/>
      <c r="H627" s="169"/>
      <c r="I627" s="169"/>
      <c r="J627" s="169"/>
      <c r="K627" s="169"/>
      <c r="L627" s="169"/>
      <c r="M627" s="169"/>
      <c r="N627" s="172"/>
    </row>
    <row r="628" spans="1:14" ht="15">
      <c r="A628" s="24"/>
      <c r="B628" s="90"/>
      <c r="C628" s="162"/>
      <c r="D628" s="117"/>
      <c r="E628" s="24"/>
      <c r="F628" s="169"/>
      <c r="G628" s="169"/>
      <c r="H628" s="169"/>
      <c r="I628" s="169"/>
      <c r="J628" s="169"/>
      <c r="K628" s="169"/>
      <c r="L628" s="169"/>
      <c r="M628" s="169"/>
      <c r="N628" s="172"/>
    </row>
    <row r="629" spans="1:14" ht="15">
      <c r="A629" s="24"/>
      <c r="B629" s="90"/>
      <c r="C629" s="162"/>
      <c r="D629" s="117"/>
      <c r="E629" s="24"/>
      <c r="F629" s="169"/>
      <c r="G629" s="169"/>
      <c r="H629" s="169"/>
      <c r="I629" s="169"/>
      <c r="J629" s="169"/>
      <c r="K629" s="169"/>
      <c r="L629" s="169"/>
      <c r="M629" s="169"/>
      <c r="N629" s="172"/>
    </row>
    <row r="630" spans="1:14" ht="15">
      <c r="A630" s="24"/>
      <c r="B630" s="90"/>
      <c r="C630" s="162"/>
      <c r="D630" s="117"/>
      <c r="E630" s="24"/>
      <c r="F630" s="169"/>
      <c r="G630" s="169"/>
      <c r="H630" s="169"/>
      <c r="I630" s="169"/>
      <c r="J630" s="169"/>
      <c r="K630" s="169"/>
      <c r="L630" s="169"/>
      <c r="M630" s="169"/>
      <c r="N630" s="172"/>
    </row>
    <row r="631" spans="1:14" ht="15">
      <c r="A631" s="24"/>
      <c r="B631" s="90"/>
      <c r="C631" s="162"/>
      <c r="D631" s="117"/>
      <c r="E631" s="24"/>
      <c r="F631" s="169"/>
      <c r="G631" s="169"/>
      <c r="H631" s="169"/>
      <c r="I631" s="169"/>
      <c r="J631" s="169"/>
      <c r="K631" s="169"/>
      <c r="L631" s="169"/>
      <c r="M631" s="169"/>
      <c r="N631" s="172"/>
    </row>
    <row r="632" spans="1:14" ht="15">
      <c r="A632" s="24"/>
      <c r="B632" s="90"/>
      <c r="C632" s="162"/>
      <c r="D632" s="117"/>
      <c r="E632" s="24"/>
      <c r="F632" s="169"/>
      <c r="G632" s="169"/>
      <c r="H632" s="169"/>
      <c r="I632" s="169"/>
      <c r="J632" s="169"/>
      <c r="K632" s="169"/>
      <c r="L632" s="169"/>
      <c r="M632" s="169"/>
      <c r="N632" s="172"/>
    </row>
    <row r="633" spans="1:14" ht="15">
      <c r="A633" s="24"/>
      <c r="B633" s="90"/>
      <c r="C633" s="162"/>
      <c r="D633" s="117"/>
      <c r="E633" s="24"/>
      <c r="F633" s="169"/>
      <c r="G633" s="169"/>
      <c r="H633" s="169"/>
      <c r="I633" s="169"/>
      <c r="J633" s="169"/>
      <c r="K633" s="169"/>
      <c r="L633" s="169"/>
      <c r="M633" s="169"/>
      <c r="N633" s="172"/>
    </row>
    <row r="634" spans="1:14" ht="15">
      <c r="A634" s="24"/>
      <c r="B634" s="90"/>
      <c r="C634" s="162"/>
      <c r="D634" s="117"/>
      <c r="E634" s="24"/>
      <c r="F634" s="169"/>
      <c r="G634" s="169"/>
      <c r="H634" s="169"/>
      <c r="I634" s="169"/>
      <c r="J634" s="169"/>
      <c r="K634" s="169"/>
      <c r="L634" s="169"/>
      <c r="M634" s="169"/>
      <c r="N634" s="172"/>
    </row>
    <row r="635" spans="1:14" ht="15">
      <c r="A635" s="24"/>
      <c r="B635" s="90"/>
      <c r="C635" s="162"/>
      <c r="D635" s="117"/>
      <c r="E635" s="24"/>
      <c r="F635" s="169"/>
      <c r="G635" s="169"/>
      <c r="H635" s="169"/>
      <c r="I635" s="169"/>
      <c r="J635" s="169"/>
      <c r="K635" s="169"/>
      <c r="L635" s="169"/>
      <c r="M635" s="169"/>
      <c r="N635" s="172"/>
    </row>
    <row r="636" spans="1:14" ht="15">
      <c r="A636" s="24"/>
      <c r="B636" s="90"/>
      <c r="C636" s="162"/>
      <c r="D636" s="117"/>
      <c r="E636" s="24"/>
      <c r="F636" s="169"/>
      <c r="G636" s="169"/>
      <c r="H636" s="169"/>
      <c r="I636" s="169"/>
      <c r="J636" s="169"/>
      <c r="K636" s="169"/>
      <c r="L636" s="169"/>
      <c r="M636" s="169"/>
      <c r="N636" s="172"/>
    </row>
    <row r="637" spans="1:14" ht="15">
      <c r="A637" s="24"/>
      <c r="B637" s="90"/>
      <c r="C637" s="162"/>
      <c r="D637" s="117"/>
      <c r="E637" s="24"/>
      <c r="F637" s="169"/>
      <c r="G637" s="169"/>
      <c r="H637" s="169"/>
      <c r="I637" s="169"/>
      <c r="J637" s="169"/>
      <c r="K637" s="169"/>
      <c r="L637" s="169"/>
      <c r="M637" s="169"/>
      <c r="N637" s="172"/>
    </row>
    <row r="638" spans="1:14" ht="15">
      <c r="A638" s="24"/>
      <c r="B638" s="90"/>
      <c r="C638" s="162"/>
      <c r="D638" s="117"/>
      <c r="E638" s="24"/>
      <c r="F638" s="169"/>
      <c r="G638" s="169"/>
      <c r="H638" s="169"/>
      <c r="I638" s="169"/>
      <c r="J638" s="169"/>
      <c r="K638" s="169"/>
      <c r="L638" s="169"/>
      <c r="M638" s="169"/>
      <c r="N638" s="172"/>
    </row>
    <row r="639" spans="1:14" ht="15">
      <c r="A639" s="24"/>
      <c r="B639" s="90"/>
      <c r="C639" s="162"/>
      <c r="D639" s="117"/>
      <c r="E639" s="24"/>
      <c r="F639" s="169"/>
      <c r="G639" s="169"/>
      <c r="H639" s="169"/>
      <c r="I639" s="169"/>
      <c r="J639" s="169"/>
      <c r="K639" s="169"/>
      <c r="L639" s="169"/>
      <c r="M639" s="169"/>
      <c r="N639" s="172"/>
    </row>
    <row r="640" spans="1:14" ht="15">
      <c r="A640" s="24"/>
      <c r="B640" s="90"/>
      <c r="C640" s="162"/>
      <c r="D640" s="117"/>
      <c r="E640" s="24"/>
      <c r="F640" s="169"/>
      <c r="G640" s="169"/>
      <c r="H640" s="169"/>
      <c r="I640" s="169"/>
      <c r="J640" s="169"/>
      <c r="K640" s="169"/>
      <c r="L640" s="169"/>
      <c r="M640" s="169"/>
      <c r="N640" s="172"/>
    </row>
    <row r="641" spans="1:14" ht="15">
      <c r="A641" s="24"/>
      <c r="B641" s="90"/>
      <c r="C641" s="162"/>
      <c r="D641" s="117"/>
      <c r="E641" s="24"/>
      <c r="F641" s="169"/>
      <c r="G641" s="169"/>
      <c r="H641" s="169"/>
      <c r="I641" s="169"/>
      <c r="J641" s="169"/>
      <c r="K641" s="169"/>
      <c r="L641" s="169"/>
      <c r="M641" s="169"/>
      <c r="N641" s="172"/>
    </row>
    <row r="642" spans="1:14" ht="15">
      <c r="A642" s="24"/>
      <c r="B642" s="90"/>
      <c r="C642" s="162"/>
      <c r="D642" s="117"/>
      <c r="E642" s="24"/>
      <c r="F642" s="169"/>
      <c r="G642" s="169"/>
      <c r="H642" s="169"/>
      <c r="I642" s="169"/>
      <c r="J642" s="169"/>
      <c r="K642" s="169"/>
      <c r="L642" s="169"/>
      <c r="M642" s="169"/>
      <c r="N642" s="172"/>
    </row>
    <row r="643" spans="1:14" ht="15">
      <c r="A643" s="24"/>
      <c r="B643" s="90"/>
      <c r="C643" s="162"/>
      <c r="D643" s="117"/>
      <c r="E643" s="24"/>
      <c r="F643" s="169"/>
      <c r="G643" s="169"/>
      <c r="H643" s="169"/>
      <c r="I643" s="169"/>
      <c r="J643" s="169"/>
      <c r="K643" s="169"/>
      <c r="L643" s="169"/>
      <c r="M643" s="169"/>
      <c r="N643" s="172"/>
    </row>
    <row r="644" spans="1:14" ht="15">
      <c r="A644" s="24"/>
      <c r="B644" s="90"/>
      <c r="C644" s="162"/>
      <c r="D644" s="117"/>
      <c r="E644" s="24"/>
      <c r="F644" s="169"/>
      <c r="G644" s="169"/>
      <c r="H644" s="169"/>
      <c r="I644" s="169"/>
      <c r="J644" s="169"/>
      <c r="K644" s="169"/>
      <c r="L644" s="169"/>
      <c r="M644" s="169"/>
      <c r="N644" s="172"/>
    </row>
    <row r="645" spans="1:14" ht="15">
      <c r="A645" s="24"/>
      <c r="B645" s="90"/>
      <c r="C645" s="162"/>
      <c r="D645" s="117"/>
      <c r="E645" s="24"/>
      <c r="F645" s="169"/>
      <c r="G645" s="169"/>
      <c r="H645" s="169"/>
      <c r="I645" s="169"/>
      <c r="J645" s="169"/>
      <c r="K645" s="169"/>
      <c r="L645" s="169"/>
      <c r="M645" s="169"/>
      <c r="N645" s="172"/>
    </row>
    <row r="646" ht="15">
      <c r="N646" s="172"/>
    </row>
    <row r="647" ht="15">
      <c r="N647" s="172"/>
    </row>
    <row r="648" spans="1:14" ht="15">
      <c r="A648" s="120"/>
      <c r="E648" s="120"/>
      <c r="N648" s="172"/>
    </row>
    <row r="649" spans="1:14" ht="15">
      <c r="A649" s="120"/>
      <c r="E649" s="120"/>
      <c r="N649" s="172"/>
    </row>
    <row r="650" spans="1:14" ht="15">
      <c r="A650" s="120"/>
      <c r="E650" s="120"/>
      <c r="N650" s="172"/>
    </row>
    <row r="651" spans="1:14" ht="15">
      <c r="A651" s="120"/>
      <c r="E651" s="120"/>
      <c r="N651" s="172"/>
    </row>
    <row r="652" spans="1:14" ht="15">
      <c r="A652" s="120"/>
      <c r="E652" s="120"/>
      <c r="N652" s="172"/>
    </row>
    <row r="653" spans="1:14" ht="15">
      <c r="A653" s="120"/>
      <c r="E653" s="120"/>
      <c r="N653" s="172"/>
    </row>
    <row r="654" spans="1:14" ht="15">
      <c r="A654" s="120"/>
      <c r="E654" s="120"/>
      <c r="N654" s="172"/>
    </row>
    <row r="655" spans="1:14" ht="15">
      <c r="A655" s="120"/>
      <c r="E655" s="120"/>
      <c r="N655" s="172"/>
    </row>
    <row r="656" spans="1:14" ht="15">
      <c r="A656" s="120"/>
      <c r="E656" s="120"/>
      <c r="N656" s="172"/>
    </row>
    <row r="657" spans="1:14" ht="15">
      <c r="A657" s="120"/>
      <c r="E657" s="120"/>
      <c r="N657" s="172"/>
    </row>
    <row r="658" spans="1:14" ht="15">
      <c r="A658" s="120"/>
      <c r="E658" s="120"/>
      <c r="N658" s="172"/>
    </row>
    <row r="659" spans="1:14" ht="15">
      <c r="A659" s="120"/>
      <c r="E659" s="120"/>
      <c r="N659" s="172"/>
    </row>
    <row r="660" spans="1:14" ht="15">
      <c r="A660" s="120"/>
      <c r="E660" s="120"/>
      <c r="N660" s="172"/>
    </row>
    <row r="661" spans="1:14" ht="15">
      <c r="A661" s="120"/>
      <c r="E661" s="120"/>
      <c r="N661" s="172"/>
    </row>
    <row r="662" spans="1:14" ht="15">
      <c r="A662" s="120"/>
      <c r="E662" s="120"/>
      <c r="N662" s="172"/>
    </row>
    <row r="663" spans="1:14" ht="15">
      <c r="A663" s="120"/>
      <c r="E663" s="120"/>
      <c r="N663" s="172"/>
    </row>
    <row r="664" spans="1:14" ht="15">
      <c r="A664" s="120"/>
      <c r="E664" s="120"/>
      <c r="N664" s="172"/>
    </row>
    <row r="665" spans="1:14" ht="15">
      <c r="A665" s="120"/>
      <c r="E665" s="120"/>
      <c r="N665" s="172"/>
    </row>
    <row r="666" spans="1:14" ht="15">
      <c r="A666" s="120"/>
      <c r="E666" s="120"/>
      <c r="N666" s="172"/>
    </row>
    <row r="667" spans="1:14" ht="15">
      <c r="A667" s="120"/>
      <c r="E667" s="120"/>
      <c r="N667" s="172"/>
    </row>
    <row r="668" spans="1:14" ht="15">
      <c r="A668" s="120"/>
      <c r="E668" s="120"/>
      <c r="N668" s="172"/>
    </row>
    <row r="669" spans="1:14" ht="15">
      <c r="A669" s="120"/>
      <c r="E669" s="120"/>
      <c r="N669" s="172"/>
    </row>
    <row r="670" spans="1:14" ht="15">
      <c r="A670" s="120"/>
      <c r="E670" s="120"/>
      <c r="N670" s="172"/>
    </row>
    <row r="671" spans="1:14" ht="15">
      <c r="A671" s="120"/>
      <c r="E671" s="120"/>
      <c r="N671" s="172"/>
    </row>
    <row r="672" spans="1:14" ht="15">
      <c r="A672" s="120"/>
      <c r="E672" s="120"/>
      <c r="N672" s="172"/>
    </row>
    <row r="673" spans="1:14" ht="15">
      <c r="A673" s="120"/>
      <c r="E673" s="120"/>
      <c r="N673" s="172"/>
    </row>
    <row r="674" spans="1:14" ht="15">
      <c r="A674" s="120"/>
      <c r="E674" s="120"/>
      <c r="N674" s="172"/>
    </row>
    <row r="675" spans="1:14" ht="15">
      <c r="A675" s="120"/>
      <c r="E675" s="120"/>
      <c r="N675" s="172"/>
    </row>
    <row r="676" spans="1:14" ht="15">
      <c r="A676" s="120"/>
      <c r="E676" s="120"/>
      <c r="N676" s="172"/>
    </row>
    <row r="677" spans="1:14" ht="15">
      <c r="A677" s="120"/>
      <c r="E677" s="120"/>
      <c r="N677" s="172"/>
    </row>
    <row r="678" spans="1:14" ht="15">
      <c r="A678" s="120"/>
      <c r="E678" s="120"/>
      <c r="N678" s="172"/>
    </row>
    <row r="679" spans="1:14" ht="15">
      <c r="A679" s="120"/>
      <c r="E679" s="120"/>
      <c r="N679" s="172"/>
    </row>
  </sheetData>
  <sheetProtection/>
  <autoFilter ref="A9:P523"/>
  <mergeCells count="14">
    <mergeCell ref="N7:N8"/>
    <mergeCell ref="D7:D8"/>
    <mergeCell ref="L7:M7"/>
    <mergeCell ref="B7:B8"/>
    <mergeCell ref="H7:I7"/>
    <mergeCell ref="E7:E8"/>
    <mergeCell ref="F7:F8"/>
    <mergeCell ref="J7:K7"/>
    <mergeCell ref="H535:J535"/>
    <mergeCell ref="A1:N1"/>
    <mergeCell ref="A3:N3"/>
    <mergeCell ref="A5:N5"/>
    <mergeCell ref="A7:A8"/>
    <mergeCell ref="C7:C8"/>
  </mergeCells>
  <printOptions horizontalCentered="1"/>
  <pageMargins left="0.11811023622047245" right="0.11811023622047245" top="0.3937007874015748" bottom="0.3937007874015748" header="0.4330708661417323" footer="0.07874015748031496"/>
  <pageSetup cellComments="asDisplayed" firstPageNumber="1" useFirstPageNumber="1" horizontalDpi="600" verticalDpi="600" orientation="landscape" paperSize="9" scale="85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709"/>
  <sheetViews>
    <sheetView zoomScaleSheetLayoutView="10" zoomScalePageLayoutView="0" workbookViewId="0" topLeftCell="A1">
      <selection activeCell="G9" sqref="G9"/>
    </sheetView>
  </sheetViews>
  <sheetFormatPr defaultColWidth="9.140625" defaultRowHeight="12.75"/>
  <cols>
    <col min="1" max="1" width="3.8515625" style="313" customWidth="1"/>
    <col min="2" max="2" width="10.57421875" style="341" hidden="1" customWidth="1"/>
    <col min="3" max="3" width="54.7109375" style="319" customWidth="1"/>
    <col min="4" max="4" width="7.8515625" style="319" customWidth="1"/>
    <col min="5" max="5" width="8.7109375" style="333" customWidth="1"/>
    <col min="6" max="7" width="9.28125" style="292" customWidth="1"/>
    <col min="8" max="8" width="9.421875" style="524" customWidth="1"/>
    <col min="9" max="9" width="12.7109375" style="524" customWidth="1"/>
    <col min="10" max="10" width="8.7109375" style="525" customWidth="1"/>
    <col min="11" max="11" width="12.7109375" style="524" customWidth="1"/>
    <col min="12" max="12" width="7.8515625" style="525" customWidth="1"/>
    <col min="13" max="13" width="9.7109375" style="524" customWidth="1"/>
    <col min="14" max="14" width="14.28125" style="524" customWidth="1"/>
    <col min="15" max="15" width="19.8515625" style="319" customWidth="1"/>
    <col min="16" max="16" width="12.8515625" style="319" customWidth="1"/>
    <col min="17" max="17" width="31.421875" style="319" customWidth="1"/>
    <col min="18" max="16384" width="9.140625" style="319" customWidth="1"/>
  </cols>
  <sheetData>
    <row r="1" spans="1:14" s="255" customFormat="1" ht="42" customHeight="1">
      <c r="A1" s="686" t="str">
        <f>კრებსიტი!A1</f>
        <v>საბავშვო ბაღის აშენების პროექტი სოფელ იორმუღანლოში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</row>
    <row r="2" spans="1:14" s="255" customFormat="1" ht="9" customHeight="1">
      <c r="A2" s="256"/>
      <c r="B2" s="334"/>
      <c r="C2" s="257"/>
      <c r="D2" s="256"/>
      <c r="E2" s="323"/>
      <c r="F2" s="257"/>
      <c r="G2" s="257"/>
      <c r="H2" s="512"/>
      <c r="I2" s="512"/>
      <c r="J2" s="512"/>
      <c r="K2" s="512"/>
      <c r="L2" s="512"/>
      <c r="M2" s="512"/>
      <c r="N2" s="512"/>
    </row>
    <row r="3" spans="1:14" s="266" customFormat="1" ht="19.5" customHeight="1">
      <c r="A3" s="681" t="s">
        <v>360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</row>
    <row r="4" spans="1:14" s="266" customFormat="1" ht="9" customHeight="1">
      <c r="A4" s="267"/>
      <c r="B4" s="324"/>
      <c r="C4" s="268"/>
      <c r="D4" s="267"/>
      <c r="E4" s="324"/>
      <c r="F4" s="268"/>
      <c r="G4" s="268"/>
      <c r="H4" s="513"/>
      <c r="I4" s="513"/>
      <c r="J4" s="513"/>
      <c r="K4" s="513"/>
      <c r="L4" s="513"/>
      <c r="M4" s="513"/>
      <c r="N4" s="513"/>
    </row>
    <row r="5" spans="1:14" s="269" customFormat="1" ht="18.75" customHeight="1">
      <c r="A5" s="682" t="s">
        <v>166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</row>
    <row r="6" spans="1:14" s="266" customFormat="1" ht="14.25" customHeight="1" thickBot="1">
      <c r="A6" s="270"/>
      <c r="B6" s="325"/>
      <c r="C6" s="271"/>
      <c r="D6" s="270"/>
      <c r="E6" s="325"/>
      <c r="F6" s="272"/>
      <c r="G6" s="272"/>
      <c r="H6" s="514"/>
      <c r="I6" s="514"/>
      <c r="J6" s="515"/>
      <c r="K6" s="514"/>
      <c r="L6" s="515"/>
      <c r="M6" s="514"/>
      <c r="N6" s="514"/>
    </row>
    <row r="7" spans="1:14" s="258" customFormat="1" ht="36" customHeight="1" thickBot="1" thickTop="1">
      <c r="A7" s="687" t="s">
        <v>0</v>
      </c>
      <c r="B7" s="688" t="s">
        <v>49</v>
      </c>
      <c r="C7" s="685" t="s">
        <v>50</v>
      </c>
      <c r="D7" s="687" t="s">
        <v>51</v>
      </c>
      <c r="E7" s="688" t="s">
        <v>52</v>
      </c>
      <c r="F7" s="689" t="s">
        <v>53</v>
      </c>
      <c r="G7" s="635" t="s">
        <v>853</v>
      </c>
      <c r="H7" s="685" t="s">
        <v>54</v>
      </c>
      <c r="I7" s="685"/>
      <c r="J7" s="685" t="s">
        <v>55</v>
      </c>
      <c r="K7" s="685"/>
      <c r="L7" s="685" t="s">
        <v>56</v>
      </c>
      <c r="M7" s="685"/>
      <c r="N7" s="685" t="s">
        <v>57</v>
      </c>
    </row>
    <row r="8" spans="1:15" s="258" customFormat="1" ht="36" customHeight="1" thickBot="1" thickTop="1">
      <c r="A8" s="687"/>
      <c r="B8" s="688"/>
      <c r="C8" s="685"/>
      <c r="D8" s="687"/>
      <c r="E8" s="688"/>
      <c r="F8" s="689"/>
      <c r="G8" s="635" t="s">
        <v>858</v>
      </c>
      <c r="H8" s="274" t="s">
        <v>58</v>
      </c>
      <c r="I8" s="511" t="s">
        <v>59</v>
      </c>
      <c r="J8" s="274" t="s">
        <v>58</v>
      </c>
      <c r="K8" s="511" t="s">
        <v>59</v>
      </c>
      <c r="L8" s="274" t="s">
        <v>58</v>
      </c>
      <c r="M8" s="511" t="s">
        <v>59</v>
      </c>
      <c r="N8" s="685"/>
      <c r="O8" s="259"/>
    </row>
    <row r="9" spans="1:14" s="265" customFormat="1" ht="14.25" customHeight="1" thickBot="1" thickTop="1">
      <c r="A9" s="260">
        <v>1</v>
      </c>
      <c r="B9" s="335">
        <v>2</v>
      </c>
      <c r="C9" s="261">
        <v>3</v>
      </c>
      <c r="D9" s="262">
        <v>4</v>
      </c>
      <c r="E9" s="326">
        <v>5</v>
      </c>
      <c r="F9" s="263">
        <v>6</v>
      </c>
      <c r="G9" s="263"/>
      <c r="H9" s="37">
        <v>7</v>
      </c>
      <c r="I9" s="37">
        <v>8</v>
      </c>
      <c r="J9" s="37">
        <v>9</v>
      </c>
      <c r="K9" s="37">
        <v>10</v>
      </c>
      <c r="L9" s="37">
        <v>11</v>
      </c>
      <c r="M9" s="37">
        <v>12</v>
      </c>
      <c r="N9" s="37">
        <v>13</v>
      </c>
    </row>
    <row r="10" spans="1:16" s="283" customFormat="1" ht="18" customHeight="1" thickTop="1">
      <c r="A10" s="276"/>
      <c r="B10" s="336"/>
      <c r="C10" s="277" t="s">
        <v>354</v>
      </c>
      <c r="D10" s="278"/>
      <c r="E10" s="327"/>
      <c r="F10" s="279"/>
      <c r="G10" s="279"/>
      <c r="H10" s="43"/>
      <c r="I10" s="44"/>
      <c r="J10" s="44"/>
      <c r="K10" s="516"/>
      <c r="L10" s="44"/>
      <c r="M10" s="44"/>
      <c r="N10" s="44"/>
      <c r="P10" s="284"/>
    </row>
    <row r="11" spans="1:17" s="289" customFormat="1" ht="18" customHeight="1">
      <c r="A11" s="285"/>
      <c r="B11" s="337"/>
      <c r="C11" s="254" t="s">
        <v>214</v>
      </c>
      <c r="D11" s="350" t="s">
        <v>215</v>
      </c>
      <c r="E11" s="328"/>
      <c r="F11" s="357">
        <v>40</v>
      </c>
      <c r="G11" s="639"/>
      <c r="H11" s="84"/>
      <c r="I11" s="84"/>
      <c r="J11" s="83"/>
      <c r="K11" s="84"/>
      <c r="L11" s="83"/>
      <c r="M11" s="84"/>
      <c r="N11" s="84"/>
      <c r="O11" s="286"/>
      <c r="P11" s="287"/>
      <c r="Q11" s="288"/>
    </row>
    <row r="12" spans="1:17" s="292" customFormat="1" ht="18" customHeight="1">
      <c r="A12" s="285"/>
      <c r="B12" s="337"/>
      <c r="C12" s="254" t="s">
        <v>216</v>
      </c>
      <c r="D12" s="350" t="s">
        <v>215</v>
      </c>
      <c r="E12" s="301"/>
      <c r="F12" s="357">
        <v>5</v>
      </c>
      <c r="G12" s="639"/>
      <c r="H12" s="84"/>
      <c r="I12" s="84"/>
      <c r="J12" s="83"/>
      <c r="K12" s="84"/>
      <c r="L12" s="83"/>
      <c r="M12" s="84"/>
      <c r="N12" s="84"/>
      <c r="O12" s="290"/>
      <c r="P12" s="291"/>
      <c r="Q12" s="268"/>
    </row>
    <row r="13" spans="1:17" s="292" customFormat="1" ht="18" customHeight="1">
      <c r="A13" s="285"/>
      <c r="B13" s="293"/>
      <c r="C13" s="254" t="s">
        <v>217</v>
      </c>
      <c r="D13" s="350" t="s">
        <v>215</v>
      </c>
      <c r="E13" s="329"/>
      <c r="F13" s="357">
        <v>20</v>
      </c>
      <c r="G13" s="639"/>
      <c r="H13" s="84"/>
      <c r="I13" s="84"/>
      <c r="J13" s="83"/>
      <c r="K13" s="84"/>
      <c r="L13" s="83"/>
      <c r="M13" s="84"/>
      <c r="N13" s="84"/>
      <c r="O13" s="295"/>
      <c r="P13" s="268"/>
      <c r="Q13" s="268"/>
    </row>
    <row r="14" spans="1:17" s="292" customFormat="1" ht="18" customHeight="1">
      <c r="A14" s="285"/>
      <c r="B14" s="293"/>
      <c r="C14" s="254" t="s">
        <v>218</v>
      </c>
      <c r="D14" s="350" t="s">
        <v>215</v>
      </c>
      <c r="E14" s="330"/>
      <c r="F14" s="357">
        <v>460</v>
      </c>
      <c r="G14" s="639"/>
      <c r="H14" s="84"/>
      <c r="I14" s="84"/>
      <c r="J14" s="83"/>
      <c r="K14" s="84"/>
      <c r="L14" s="83"/>
      <c r="M14" s="84"/>
      <c r="N14" s="84"/>
      <c r="O14" s="295"/>
      <c r="P14" s="268"/>
      <c r="Q14" s="268"/>
    </row>
    <row r="15" spans="1:17" s="292" customFormat="1" ht="18" customHeight="1">
      <c r="A15" s="285"/>
      <c r="B15" s="337"/>
      <c r="C15" s="254" t="s">
        <v>219</v>
      </c>
      <c r="D15" s="350" t="s">
        <v>215</v>
      </c>
      <c r="E15" s="301"/>
      <c r="F15" s="357">
        <v>130</v>
      </c>
      <c r="G15" s="639"/>
      <c r="H15" s="84"/>
      <c r="I15" s="84"/>
      <c r="J15" s="83"/>
      <c r="K15" s="84"/>
      <c r="L15" s="83"/>
      <c r="M15" s="84"/>
      <c r="N15" s="84"/>
      <c r="O15" s="296"/>
      <c r="P15" s="291"/>
      <c r="Q15" s="268"/>
    </row>
    <row r="16" spans="1:17" s="289" customFormat="1" ht="18" customHeight="1">
      <c r="A16" s="285"/>
      <c r="B16" s="337"/>
      <c r="C16" s="254" t="s">
        <v>220</v>
      </c>
      <c r="D16" s="350" t="s">
        <v>215</v>
      </c>
      <c r="E16" s="328"/>
      <c r="F16" s="357">
        <v>20</v>
      </c>
      <c r="G16" s="639"/>
      <c r="H16" s="84"/>
      <c r="I16" s="84"/>
      <c r="J16" s="83"/>
      <c r="K16" s="84"/>
      <c r="L16" s="83"/>
      <c r="M16" s="84"/>
      <c r="N16" s="84"/>
      <c r="O16" s="286"/>
      <c r="P16" s="287"/>
      <c r="Q16" s="288"/>
    </row>
    <row r="17" spans="1:17" s="292" customFormat="1" ht="18" customHeight="1">
      <c r="A17" s="285"/>
      <c r="B17" s="337"/>
      <c r="C17" s="254" t="s">
        <v>221</v>
      </c>
      <c r="D17" s="350" t="s">
        <v>215</v>
      </c>
      <c r="E17" s="301"/>
      <c r="F17" s="357">
        <v>90</v>
      </c>
      <c r="G17" s="639"/>
      <c r="H17" s="84"/>
      <c r="I17" s="84"/>
      <c r="J17" s="83"/>
      <c r="K17" s="84"/>
      <c r="L17" s="83"/>
      <c r="M17" s="84"/>
      <c r="N17" s="84"/>
      <c r="O17" s="296"/>
      <c r="P17" s="291"/>
      <c r="Q17" s="268"/>
    </row>
    <row r="18" spans="1:17" s="292" customFormat="1" ht="18" customHeight="1">
      <c r="A18" s="285"/>
      <c r="B18" s="293"/>
      <c r="C18" s="254" t="s">
        <v>222</v>
      </c>
      <c r="D18" s="350" t="s">
        <v>215</v>
      </c>
      <c r="E18" s="329"/>
      <c r="F18" s="357">
        <v>220</v>
      </c>
      <c r="G18" s="639"/>
      <c r="H18" s="84"/>
      <c r="I18" s="84"/>
      <c r="J18" s="83"/>
      <c r="K18" s="84"/>
      <c r="L18" s="83"/>
      <c r="M18" s="84"/>
      <c r="N18" s="84"/>
      <c r="O18" s="295"/>
      <c r="P18" s="268"/>
      <c r="Q18" s="268"/>
    </row>
    <row r="19" spans="1:17" s="292" customFormat="1" ht="18" customHeight="1">
      <c r="A19" s="285"/>
      <c r="B19" s="293"/>
      <c r="C19" s="254" t="s">
        <v>223</v>
      </c>
      <c r="D19" s="350" t="s">
        <v>215</v>
      </c>
      <c r="E19" s="330"/>
      <c r="F19" s="357">
        <v>100</v>
      </c>
      <c r="G19" s="639"/>
      <c r="H19" s="84"/>
      <c r="I19" s="84"/>
      <c r="J19" s="83"/>
      <c r="K19" s="84"/>
      <c r="L19" s="83"/>
      <c r="M19" s="84"/>
      <c r="N19" s="84"/>
      <c r="O19" s="295"/>
      <c r="P19" s="268"/>
      <c r="Q19" s="268"/>
    </row>
    <row r="20" spans="1:14" s="292" customFormat="1" ht="18" customHeight="1">
      <c r="A20" s="285"/>
      <c r="B20" s="337"/>
      <c r="C20" s="254" t="s">
        <v>224</v>
      </c>
      <c r="D20" s="350" t="s">
        <v>215</v>
      </c>
      <c r="E20" s="301"/>
      <c r="F20" s="357">
        <v>65</v>
      </c>
      <c r="G20" s="639"/>
      <c r="H20" s="84"/>
      <c r="I20" s="84"/>
      <c r="J20" s="83"/>
      <c r="K20" s="84"/>
      <c r="L20" s="83"/>
      <c r="M20" s="84"/>
      <c r="N20" s="84"/>
    </row>
    <row r="21" spans="1:17" s="289" customFormat="1" ht="18" customHeight="1">
      <c r="A21" s="297"/>
      <c r="B21" s="337"/>
      <c r="C21" s="254" t="s">
        <v>225</v>
      </c>
      <c r="D21" s="350" t="s">
        <v>215</v>
      </c>
      <c r="E21" s="328"/>
      <c r="F21" s="357">
        <v>20</v>
      </c>
      <c r="G21" s="639"/>
      <c r="H21" s="84"/>
      <c r="I21" s="84"/>
      <c r="J21" s="83"/>
      <c r="K21" s="84"/>
      <c r="L21" s="83"/>
      <c r="M21" s="84"/>
      <c r="N21" s="84"/>
      <c r="O21" s="286"/>
      <c r="P21" s="287"/>
      <c r="Q21" s="288"/>
    </row>
    <row r="22" spans="1:17" s="292" customFormat="1" ht="18" customHeight="1">
      <c r="A22" s="297"/>
      <c r="B22" s="300"/>
      <c r="C22" s="254" t="s">
        <v>226</v>
      </c>
      <c r="D22" s="350" t="s">
        <v>215</v>
      </c>
      <c r="E22" s="301"/>
      <c r="F22" s="357">
        <v>2350</v>
      </c>
      <c r="G22" s="639"/>
      <c r="H22" s="84"/>
      <c r="I22" s="84"/>
      <c r="J22" s="83"/>
      <c r="K22" s="84"/>
      <c r="L22" s="83"/>
      <c r="M22" s="84"/>
      <c r="N22" s="84"/>
      <c r="O22" s="296"/>
      <c r="P22" s="291"/>
      <c r="Q22" s="268"/>
    </row>
    <row r="23" spans="1:14" s="292" customFormat="1" ht="18" customHeight="1">
      <c r="A23" s="285"/>
      <c r="B23" s="293"/>
      <c r="C23" s="254" t="s">
        <v>227</v>
      </c>
      <c r="D23" s="350" t="s">
        <v>215</v>
      </c>
      <c r="E23" s="331"/>
      <c r="F23" s="357">
        <v>2950</v>
      </c>
      <c r="G23" s="639"/>
      <c r="H23" s="84"/>
      <c r="I23" s="84"/>
      <c r="J23" s="83"/>
      <c r="K23" s="84"/>
      <c r="L23" s="83"/>
      <c r="M23" s="84"/>
      <c r="N23" s="84"/>
    </row>
    <row r="24" spans="1:14" s="292" customFormat="1" ht="18" customHeight="1">
      <c r="A24" s="297"/>
      <c r="B24" s="338"/>
      <c r="C24" s="254" t="s">
        <v>228</v>
      </c>
      <c r="D24" s="350" t="s">
        <v>215</v>
      </c>
      <c r="E24" s="330"/>
      <c r="F24" s="357">
        <v>105</v>
      </c>
      <c r="G24" s="639"/>
      <c r="H24" s="84"/>
      <c r="I24" s="84"/>
      <c r="J24" s="83"/>
      <c r="K24" s="84"/>
      <c r="L24" s="83"/>
      <c r="M24" s="84"/>
      <c r="N24" s="84"/>
    </row>
    <row r="25" spans="1:14" s="292" customFormat="1" ht="18" customHeight="1">
      <c r="A25" s="297"/>
      <c r="B25" s="300"/>
      <c r="C25" s="254" t="s">
        <v>229</v>
      </c>
      <c r="D25" s="350" t="s">
        <v>215</v>
      </c>
      <c r="E25" s="301"/>
      <c r="F25" s="357">
        <v>100</v>
      </c>
      <c r="G25" s="639"/>
      <c r="H25" s="84"/>
      <c r="I25" s="84"/>
      <c r="J25" s="83"/>
      <c r="K25" s="84"/>
      <c r="L25" s="83"/>
      <c r="M25" s="84"/>
      <c r="N25" s="84"/>
    </row>
    <row r="26" spans="1:17" s="289" customFormat="1" ht="18" customHeight="1">
      <c r="A26" s="285"/>
      <c r="B26" s="337"/>
      <c r="C26" s="254" t="s">
        <v>230</v>
      </c>
      <c r="D26" s="350" t="s">
        <v>215</v>
      </c>
      <c r="E26" s="328"/>
      <c r="F26" s="357">
        <v>850</v>
      </c>
      <c r="G26" s="639"/>
      <c r="H26" s="84"/>
      <c r="I26" s="84"/>
      <c r="J26" s="83"/>
      <c r="K26" s="84"/>
      <c r="L26" s="83"/>
      <c r="M26" s="84"/>
      <c r="N26" s="84"/>
      <c r="O26" s="286"/>
      <c r="P26" s="287"/>
      <c r="Q26" s="288"/>
    </row>
    <row r="27" spans="1:16" s="283" customFormat="1" ht="18" customHeight="1">
      <c r="A27" s="276"/>
      <c r="B27" s="336"/>
      <c r="C27" s="277" t="s">
        <v>231</v>
      </c>
      <c r="D27" s="278"/>
      <c r="E27" s="327"/>
      <c r="F27" s="279"/>
      <c r="G27" s="279"/>
      <c r="H27" s="43"/>
      <c r="I27" s="44"/>
      <c r="J27" s="44"/>
      <c r="K27" s="516"/>
      <c r="L27" s="44"/>
      <c r="M27" s="44"/>
      <c r="N27" s="44"/>
      <c r="P27" s="284"/>
    </row>
    <row r="28" spans="1:17" s="292" customFormat="1" ht="18" customHeight="1">
      <c r="A28" s="285"/>
      <c r="B28" s="293"/>
      <c r="C28" s="254" t="s">
        <v>232</v>
      </c>
      <c r="D28" s="350" t="s">
        <v>92</v>
      </c>
      <c r="E28" s="329"/>
      <c r="F28" s="357">
        <v>52</v>
      </c>
      <c r="G28" s="639"/>
      <c r="H28" s="84"/>
      <c r="I28" s="84"/>
      <c r="J28" s="83"/>
      <c r="K28" s="84"/>
      <c r="L28" s="83"/>
      <c r="M28" s="84"/>
      <c r="N28" s="84"/>
      <c r="O28" s="295"/>
      <c r="P28" s="268"/>
      <c r="Q28" s="268"/>
    </row>
    <row r="29" spans="1:17" s="292" customFormat="1" ht="18" customHeight="1">
      <c r="A29" s="285"/>
      <c r="B29" s="293"/>
      <c r="C29" s="254" t="s">
        <v>233</v>
      </c>
      <c r="D29" s="350" t="s">
        <v>92</v>
      </c>
      <c r="E29" s="330"/>
      <c r="F29" s="357">
        <v>6</v>
      </c>
      <c r="G29" s="639"/>
      <c r="H29" s="84"/>
      <c r="I29" s="84"/>
      <c r="J29" s="83"/>
      <c r="K29" s="84"/>
      <c r="L29" s="83"/>
      <c r="M29" s="84"/>
      <c r="N29" s="84"/>
      <c r="O29" s="295"/>
      <c r="P29" s="268"/>
      <c r="Q29" s="268"/>
    </row>
    <row r="30" spans="1:14" s="292" customFormat="1" ht="18" customHeight="1">
      <c r="A30" s="285"/>
      <c r="B30" s="337"/>
      <c r="C30" s="254" t="s">
        <v>234</v>
      </c>
      <c r="D30" s="350" t="s">
        <v>92</v>
      </c>
      <c r="E30" s="301"/>
      <c r="F30" s="357">
        <v>10</v>
      </c>
      <c r="G30" s="639"/>
      <c r="H30" s="84"/>
      <c r="I30" s="84"/>
      <c r="J30" s="83"/>
      <c r="K30" s="84"/>
      <c r="L30" s="83"/>
      <c r="M30" s="84"/>
      <c r="N30" s="84"/>
    </row>
    <row r="31" spans="1:14" s="292" customFormat="1" ht="18" customHeight="1">
      <c r="A31" s="297"/>
      <c r="B31" s="300"/>
      <c r="C31" s="254" t="s">
        <v>235</v>
      </c>
      <c r="D31" s="350" t="s">
        <v>92</v>
      </c>
      <c r="E31" s="328"/>
      <c r="F31" s="357">
        <f>91</f>
        <v>91</v>
      </c>
      <c r="G31" s="639"/>
      <c r="H31" s="84"/>
      <c r="I31" s="84"/>
      <c r="J31" s="83"/>
      <c r="K31" s="84"/>
      <c r="L31" s="83"/>
      <c r="M31" s="84"/>
      <c r="N31" s="84"/>
    </row>
    <row r="32" spans="1:14" s="292" customFormat="1" ht="18" customHeight="1">
      <c r="A32" s="297"/>
      <c r="B32" s="300"/>
      <c r="C32" s="254" t="s">
        <v>236</v>
      </c>
      <c r="D32" s="350" t="s">
        <v>92</v>
      </c>
      <c r="E32" s="301"/>
      <c r="F32" s="358">
        <f>53+43+1</f>
        <v>97</v>
      </c>
      <c r="G32" s="640"/>
      <c r="H32" s="84"/>
      <c r="I32" s="84"/>
      <c r="J32" s="83"/>
      <c r="K32" s="84"/>
      <c r="L32" s="83"/>
      <c r="M32" s="84"/>
      <c r="N32" s="84"/>
    </row>
    <row r="33" spans="1:17" s="292" customFormat="1" ht="18" customHeight="1">
      <c r="A33" s="285"/>
      <c r="B33" s="293"/>
      <c r="C33" s="254" t="s">
        <v>237</v>
      </c>
      <c r="D33" s="350" t="s">
        <v>92</v>
      </c>
      <c r="E33" s="329"/>
      <c r="F33" s="358">
        <f>16</f>
        <v>16</v>
      </c>
      <c r="G33" s="640"/>
      <c r="H33" s="84"/>
      <c r="I33" s="84"/>
      <c r="J33" s="83"/>
      <c r="K33" s="84"/>
      <c r="L33" s="83"/>
      <c r="M33" s="84"/>
      <c r="N33" s="84"/>
      <c r="O33" s="296"/>
      <c r="P33" s="291"/>
      <c r="Q33" s="268"/>
    </row>
    <row r="34" spans="1:17" s="292" customFormat="1" ht="18" customHeight="1">
      <c r="A34" s="297"/>
      <c r="B34" s="338"/>
      <c r="C34" s="254" t="s">
        <v>238</v>
      </c>
      <c r="D34" s="350" t="s">
        <v>92</v>
      </c>
      <c r="E34" s="330"/>
      <c r="F34" s="358">
        <f>1</f>
        <v>1</v>
      </c>
      <c r="G34" s="640"/>
      <c r="H34" s="84"/>
      <c r="I34" s="84"/>
      <c r="J34" s="83"/>
      <c r="K34" s="84"/>
      <c r="L34" s="83"/>
      <c r="M34" s="84"/>
      <c r="N34" s="84"/>
      <c r="O34" s="296"/>
      <c r="P34" s="291"/>
      <c r="Q34" s="268"/>
    </row>
    <row r="35" spans="1:15" s="292" customFormat="1" ht="18" customHeight="1">
      <c r="A35" s="297"/>
      <c r="B35" s="300"/>
      <c r="C35" s="254" t="s">
        <v>239</v>
      </c>
      <c r="D35" s="350" t="s">
        <v>92</v>
      </c>
      <c r="E35" s="301"/>
      <c r="F35" s="358">
        <f>1+1</f>
        <v>2</v>
      </c>
      <c r="G35" s="640"/>
      <c r="H35" s="84"/>
      <c r="I35" s="84"/>
      <c r="J35" s="83"/>
      <c r="K35" s="84"/>
      <c r="L35" s="83"/>
      <c r="M35" s="84"/>
      <c r="N35" s="84"/>
      <c r="O35" s="289"/>
    </row>
    <row r="36" spans="1:17" s="289" customFormat="1" ht="18" customHeight="1">
      <c r="A36" s="285"/>
      <c r="B36" s="337"/>
      <c r="C36" s="254" t="s">
        <v>240</v>
      </c>
      <c r="D36" s="350" t="s">
        <v>92</v>
      </c>
      <c r="E36" s="328"/>
      <c r="F36" s="358">
        <f>4+1</f>
        <v>5</v>
      </c>
      <c r="G36" s="640"/>
      <c r="H36" s="84"/>
      <c r="I36" s="84"/>
      <c r="J36" s="83"/>
      <c r="K36" s="84"/>
      <c r="L36" s="83"/>
      <c r="M36" s="84"/>
      <c r="N36" s="84"/>
      <c r="O36" s="286"/>
      <c r="P36" s="287"/>
      <c r="Q36" s="288"/>
    </row>
    <row r="37" spans="1:17" s="292" customFormat="1" ht="36" customHeight="1">
      <c r="A37" s="285"/>
      <c r="B37" s="337"/>
      <c r="C37" s="254" t="s">
        <v>241</v>
      </c>
      <c r="D37" s="350" t="s">
        <v>92</v>
      </c>
      <c r="E37" s="301"/>
      <c r="F37" s="357">
        <v>168</v>
      </c>
      <c r="G37" s="639"/>
      <c r="H37" s="84"/>
      <c r="I37" s="84"/>
      <c r="J37" s="83"/>
      <c r="K37" s="84"/>
      <c r="L37" s="83"/>
      <c r="M37" s="84"/>
      <c r="N37" s="84"/>
      <c r="O37" s="296"/>
      <c r="P37" s="291"/>
      <c r="Q37" s="268"/>
    </row>
    <row r="38" spans="1:17" s="292" customFormat="1" ht="36" customHeight="1">
      <c r="A38" s="285"/>
      <c r="B38" s="293"/>
      <c r="C38" s="254" t="s">
        <v>242</v>
      </c>
      <c r="D38" s="350" t="s">
        <v>92</v>
      </c>
      <c r="E38" s="329"/>
      <c r="F38" s="357">
        <f>63+33</f>
        <v>96</v>
      </c>
      <c r="G38" s="639"/>
      <c r="H38" s="84"/>
      <c r="I38" s="84"/>
      <c r="J38" s="83"/>
      <c r="K38" s="84"/>
      <c r="L38" s="83"/>
      <c r="M38" s="84"/>
      <c r="N38" s="84"/>
      <c r="O38" s="295"/>
      <c r="P38" s="268"/>
      <c r="Q38" s="268"/>
    </row>
    <row r="39" spans="1:17" s="292" customFormat="1" ht="36" customHeight="1">
      <c r="A39" s="285"/>
      <c r="B39" s="293"/>
      <c r="C39" s="254" t="s">
        <v>243</v>
      </c>
      <c r="D39" s="350" t="s">
        <v>92</v>
      </c>
      <c r="E39" s="330"/>
      <c r="F39" s="357">
        <v>2</v>
      </c>
      <c r="G39" s="639"/>
      <c r="H39" s="84"/>
      <c r="I39" s="84"/>
      <c r="J39" s="83"/>
      <c r="K39" s="84"/>
      <c r="L39" s="83"/>
      <c r="M39" s="84"/>
      <c r="N39" s="84"/>
      <c r="O39" s="295"/>
      <c r="P39" s="268"/>
      <c r="Q39" s="268"/>
    </row>
    <row r="40" spans="1:14" s="292" customFormat="1" ht="36" customHeight="1">
      <c r="A40" s="285"/>
      <c r="B40" s="337"/>
      <c r="C40" s="254" t="s">
        <v>244</v>
      </c>
      <c r="D40" s="350" t="s">
        <v>92</v>
      </c>
      <c r="E40" s="301"/>
      <c r="F40" s="357">
        <v>12</v>
      </c>
      <c r="G40" s="639"/>
      <c r="H40" s="84"/>
      <c r="I40" s="84"/>
      <c r="J40" s="83"/>
      <c r="K40" s="84"/>
      <c r="L40" s="83"/>
      <c r="M40" s="84"/>
      <c r="N40" s="84"/>
    </row>
    <row r="41" spans="1:16" s="283" customFormat="1" ht="18" customHeight="1">
      <c r="A41" s="276"/>
      <c r="B41" s="336"/>
      <c r="C41" s="277" t="s">
        <v>245</v>
      </c>
      <c r="D41" s="278"/>
      <c r="E41" s="327"/>
      <c r="F41" s="279"/>
      <c r="G41" s="279"/>
      <c r="H41" s="43"/>
      <c r="I41" s="44"/>
      <c r="J41" s="44"/>
      <c r="K41" s="516"/>
      <c r="L41" s="44"/>
      <c r="M41" s="44"/>
      <c r="N41" s="44"/>
      <c r="P41" s="284"/>
    </row>
    <row r="42" spans="1:14" s="292" customFormat="1" ht="54" customHeight="1">
      <c r="A42" s="297"/>
      <c r="B42" s="300"/>
      <c r="C42" s="254" t="s">
        <v>359</v>
      </c>
      <c r="D42" s="351" t="s">
        <v>92</v>
      </c>
      <c r="E42" s="301"/>
      <c r="F42" s="360">
        <v>1</v>
      </c>
      <c r="G42" s="641"/>
      <c r="H42" s="84"/>
      <c r="I42" s="84"/>
      <c r="J42" s="83"/>
      <c r="K42" s="84"/>
      <c r="L42" s="83"/>
      <c r="M42" s="84"/>
      <c r="N42" s="84"/>
    </row>
    <row r="43" spans="1:16" s="283" customFormat="1" ht="18" customHeight="1">
      <c r="A43" s="276"/>
      <c r="B43" s="336"/>
      <c r="C43" s="277" t="s">
        <v>246</v>
      </c>
      <c r="D43" s="278"/>
      <c r="E43" s="327"/>
      <c r="F43" s="279"/>
      <c r="G43" s="279"/>
      <c r="H43" s="43"/>
      <c r="I43" s="44"/>
      <c r="J43" s="44"/>
      <c r="K43" s="516"/>
      <c r="L43" s="44"/>
      <c r="M43" s="44"/>
      <c r="N43" s="44"/>
      <c r="P43" s="284"/>
    </row>
    <row r="44" spans="1:17" s="292" customFormat="1" ht="18" customHeight="1">
      <c r="A44" s="297"/>
      <c r="B44" s="338"/>
      <c r="C44" s="254" t="s">
        <v>247</v>
      </c>
      <c r="D44" s="350" t="s">
        <v>215</v>
      </c>
      <c r="E44" s="330"/>
      <c r="F44" s="357">
        <f>55+10+(10)</f>
        <v>75</v>
      </c>
      <c r="G44" s="639"/>
      <c r="H44" s="84"/>
      <c r="I44" s="84"/>
      <c r="J44" s="83"/>
      <c r="K44" s="84"/>
      <c r="L44" s="83"/>
      <c r="M44" s="84"/>
      <c r="N44" s="84"/>
      <c r="O44" s="296"/>
      <c r="P44" s="291"/>
      <c r="Q44" s="268"/>
    </row>
    <row r="45" spans="1:15" s="292" customFormat="1" ht="36" customHeight="1">
      <c r="A45" s="297"/>
      <c r="B45" s="300"/>
      <c r="C45" s="254" t="s">
        <v>248</v>
      </c>
      <c r="D45" s="350" t="s">
        <v>92</v>
      </c>
      <c r="E45" s="301"/>
      <c r="F45" s="357">
        <v>75</v>
      </c>
      <c r="G45" s="639"/>
      <c r="H45" s="84"/>
      <c r="I45" s="84"/>
      <c r="J45" s="83"/>
      <c r="K45" s="84"/>
      <c r="L45" s="83"/>
      <c r="M45" s="84"/>
      <c r="N45" s="84"/>
      <c r="O45" s="289"/>
    </row>
    <row r="46" spans="1:17" s="289" customFormat="1" ht="18" customHeight="1">
      <c r="A46" s="297"/>
      <c r="B46" s="300"/>
      <c r="C46" s="254" t="s">
        <v>249</v>
      </c>
      <c r="D46" s="350" t="s">
        <v>215</v>
      </c>
      <c r="E46" s="328"/>
      <c r="F46" s="357">
        <f>50+37+10+(13)</f>
        <v>110</v>
      </c>
      <c r="G46" s="639"/>
      <c r="H46" s="84"/>
      <c r="I46" s="84"/>
      <c r="J46" s="83"/>
      <c r="K46" s="84"/>
      <c r="L46" s="83"/>
      <c r="M46" s="84"/>
      <c r="N46" s="84"/>
      <c r="O46" s="286"/>
      <c r="P46" s="287"/>
      <c r="Q46" s="288"/>
    </row>
    <row r="47" spans="1:17" s="292" customFormat="1" ht="36" customHeight="1">
      <c r="A47" s="297"/>
      <c r="B47" s="300"/>
      <c r="C47" s="254" t="s">
        <v>250</v>
      </c>
      <c r="D47" s="350" t="s">
        <v>92</v>
      </c>
      <c r="E47" s="301"/>
      <c r="F47" s="357">
        <v>110</v>
      </c>
      <c r="G47" s="639"/>
      <c r="H47" s="84"/>
      <c r="I47" s="84"/>
      <c r="J47" s="83"/>
      <c r="K47" s="84"/>
      <c r="L47" s="83"/>
      <c r="M47" s="84"/>
      <c r="N47" s="84"/>
      <c r="O47" s="296"/>
      <c r="P47" s="291"/>
      <c r="Q47" s="268"/>
    </row>
    <row r="48" spans="1:14" s="292" customFormat="1" ht="18" customHeight="1">
      <c r="A48" s="285"/>
      <c r="B48" s="293"/>
      <c r="C48" s="254" t="s">
        <v>251</v>
      </c>
      <c r="D48" s="350" t="s">
        <v>215</v>
      </c>
      <c r="E48" s="329"/>
      <c r="F48" s="357">
        <f>100+10+20+15+5+(20)</f>
        <v>170</v>
      </c>
      <c r="G48" s="639"/>
      <c r="H48" s="84"/>
      <c r="I48" s="84"/>
      <c r="J48" s="83"/>
      <c r="K48" s="84"/>
      <c r="L48" s="83"/>
      <c r="M48" s="84"/>
      <c r="N48" s="84"/>
    </row>
    <row r="49" spans="1:14" s="292" customFormat="1" ht="36" customHeight="1">
      <c r="A49" s="297"/>
      <c r="B49" s="338"/>
      <c r="C49" s="254" t="s">
        <v>252</v>
      </c>
      <c r="D49" s="350" t="s">
        <v>92</v>
      </c>
      <c r="E49" s="330"/>
      <c r="F49" s="357">
        <v>170</v>
      </c>
      <c r="G49" s="639"/>
      <c r="H49" s="84"/>
      <c r="I49" s="84"/>
      <c r="J49" s="83"/>
      <c r="K49" s="84"/>
      <c r="L49" s="83"/>
      <c r="M49" s="84"/>
      <c r="N49" s="84"/>
    </row>
    <row r="50" spans="1:14" s="292" customFormat="1" ht="36" customHeight="1">
      <c r="A50" s="297"/>
      <c r="B50" s="300"/>
      <c r="C50" s="254" t="s">
        <v>253</v>
      </c>
      <c r="D50" s="350" t="s">
        <v>215</v>
      </c>
      <c r="E50" s="301"/>
      <c r="F50" s="357">
        <v>1700</v>
      </c>
      <c r="G50" s="639"/>
      <c r="H50" s="84"/>
      <c r="I50" s="84"/>
      <c r="J50" s="83"/>
      <c r="K50" s="84"/>
      <c r="L50" s="83"/>
      <c r="M50" s="84"/>
      <c r="N50" s="84"/>
    </row>
    <row r="51" spans="1:17" s="292" customFormat="1" ht="36" customHeight="1">
      <c r="A51" s="297"/>
      <c r="B51" s="300"/>
      <c r="C51" s="254" t="s">
        <v>254</v>
      </c>
      <c r="D51" s="350" t="s">
        <v>215</v>
      </c>
      <c r="E51" s="328"/>
      <c r="F51" s="357">
        <v>1500</v>
      </c>
      <c r="G51" s="639"/>
      <c r="H51" s="84"/>
      <c r="I51" s="84"/>
      <c r="J51" s="83"/>
      <c r="K51" s="84"/>
      <c r="L51" s="83"/>
      <c r="M51" s="84"/>
      <c r="N51" s="84"/>
      <c r="O51" s="296"/>
      <c r="P51" s="291"/>
      <c r="Q51" s="268"/>
    </row>
    <row r="52" spans="1:15" s="292" customFormat="1" ht="36" customHeight="1">
      <c r="A52" s="297"/>
      <c r="B52" s="300"/>
      <c r="C52" s="254" t="s">
        <v>255</v>
      </c>
      <c r="D52" s="350" t="s">
        <v>215</v>
      </c>
      <c r="E52" s="301"/>
      <c r="F52" s="357">
        <v>50</v>
      </c>
      <c r="G52" s="639"/>
      <c r="H52" s="84"/>
      <c r="I52" s="84"/>
      <c r="J52" s="83"/>
      <c r="K52" s="84"/>
      <c r="L52" s="83"/>
      <c r="M52" s="84"/>
      <c r="N52" s="84"/>
      <c r="O52" s="289"/>
    </row>
    <row r="53" spans="1:17" s="289" customFormat="1" ht="18" customHeight="1">
      <c r="A53" s="285"/>
      <c r="B53" s="293"/>
      <c r="C53" s="254" t="s">
        <v>256</v>
      </c>
      <c r="D53" s="350" t="s">
        <v>215</v>
      </c>
      <c r="E53" s="329"/>
      <c r="F53" s="357">
        <v>5000</v>
      </c>
      <c r="G53" s="639"/>
      <c r="H53" s="84"/>
      <c r="I53" s="84"/>
      <c r="J53" s="83"/>
      <c r="K53" s="84"/>
      <c r="L53" s="83"/>
      <c r="M53" s="84"/>
      <c r="N53" s="84"/>
      <c r="O53" s="286"/>
      <c r="P53" s="287"/>
      <c r="Q53" s="288"/>
    </row>
    <row r="54" spans="1:17" s="289" customFormat="1" ht="15.75">
      <c r="A54" s="344"/>
      <c r="B54" s="345"/>
      <c r="C54" s="346" t="s">
        <v>257</v>
      </c>
      <c r="D54" s="352"/>
      <c r="E54" s="348"/>
      <c r="F54" s="347"/>
      <c r="G54" s="642"/>
      <c r="H54" s="517"/>
      <c r="I54" s="518"/>
      <c r="J54" s="517"/>
      <c r="K54" s="518"/>
      <c r="L54" s="517"/>
      <c r="M54" s="517"/>
      <c r="N54" s="517"/>
      <c r="O54" s="286"/>
      <c r="P54" s="287"/>
      <c r="Q54" s="288"/>
    </row>
    <row r="55" spans="1:14" s="292" customFormat="1" ht="18" customHeight="1">
      <c r="A55" s="297"/>
      <c r="B55" s="300"/>
      <c r="C55" s="254" t="s">
        <v>258</v>
      </c>
      <c r="D55" s="350" t="s">
        <v>92</v>
      </c>
      <c r="E55" s="301"/>
      <c r="F55" s="357">
        <v>10</v>
      </c>
      <c r="G55" s="639"/>
      <c r="H55" s="84"/>
      <c r="I55" s="84"/>
      <c r="J55" s="83"/>
      <c r="K55" s="84"/>
      <c r="L55" s="83"/>
      <c r="M55" s="84"/>
      <c r="N55" s="84"/>
    </row>
    <row r="56" spans="1:14" s="292" customFormat="1" ht="18" customHeight="1">
      <c r="A56" s="297"/>
      <c r="B56" s="300"/>
      <c r="C56" s="254" t="s">
        <v>259</v>
      </c>
      <c r="D56" s="350" t="s">
        <v>92</v>
      </c>
      <c r="E56" s="328"/>
      <c r="F56" s="357">
        <v>5</v>
      </c>
      <c r="G56" s="639"/>
      <c r="H56" s="84"/>
      <c r="I56" s="84"/>
      <c r="J56" s="83"/>
      <c r="K56" s="84"/>
      <c r="L56" s="83"/>
      <c r="M56" s="84"/>
      <c r="N56" s="84"/>
    </row>
    <row r="57" spans="1:17" s="292" customFormat="1" ht="18" customHeight="1">
      <c r="A57" s="297"/>
      <c r="B57" s="300"/>
      <c r="C57" s="254" t="s">
        <v>260</v>
      </c>
      <c r="D57" s="350" t="s">
        <v>92</v>
      </c>
      <c r="E57" s="299"/>
      <c r="F57" s="357">
        <v>3</v>
      </c>
      <c r="G57" s="639"/>
      <c r="H57" s="84"/>
      <c r="I57" s="84"/>
      <c r="J57" s="83"/>
      <c r="K57" s="84"/>
      <c r="L57" s="83"/>
      <c r="M57" s="84"/>
      <c r="N57" s="84"/>
      <c r="O57" s="296"/>
      <c r="P57" s="291"/>
      <c r="Q57" s="268"/>
    </row>
    <row r="58" spans="1:15" s="292" customFormat="1" ht="18" customHeight="1">
      <c r="A58" s="285"/>
      <c r="B58" s="293"/>
      <c r="C58" s="254" t="s">
        <v>261</v>
      </c>
      <c r="D58" s="350" t="s">
        <v>92</v>
      </c>
      <c r="E58" s="329"/>
      <c r="F58" s="357">
        <v>1</v>
      </c>
      <c r="G58" s="639"/>
      <c r="H58" s="84"/>
      <c r="I58" s="84"/>
      <c r="J58" s="83"/>
      <c r="K58" s="84"/>
      <c r="L58" s="83"/>
      <c r="M58" s="84"/>
      <c r="N58" s="84"/>
      <c r="O58" s="289"/>
    </row>
    <row r="59" spans="1:17" s="289" customFormat="1" ht="36" customHeight="1">
      <c r="A59" s="297"/>
      <c r="B59" s="338"/>
      <c r="C59" s="254" t="s">
        <v>262</v>
      </c>
      <c r="D59" s="350" t="s">
        <v>92</v>
      </c>
      <c r="E59" s="330"/>
      <c r="F59" s="357">
        <v>1</v>
      </c>
      <c r="G59" s="639"/>
      <c r="H59" s="84"/>
      <c r="I59" s="84"/>
      <c r="J59" s="83"/>
      <c r="K59" s="84"/>
      <c r="L59" s="83"/>
      <c r="M59" s="84"/>
      <c r="N59" s="84"/>
      <c r="O59" s="286"/>
      <c r="P59" s="287"/>
      <c r="Q59" s="288"/>
    </row>
    <row r="60" spans="1:17" s="292" customFormat="1" ht="36" customHeight="1">
      <c r="A60" s="297"/>
      <c r="B60" s="300"/>
      <c r="C60" s="254" t="s">
        <v>263</v>
      </c>
      <c r="D60" s="350" t="s">
        <v>92</v>
      </c>
      <c r="E60" s="330"/>
      <c r="F60" s="357">
        <v>1</v>
      </c>
      <c r="G60" s="639"/>
      <c r="H60" s="84"/>
      <c r="I60" s="84"/>
      <c r="J60" s="83"/>
      <c r="K60" s="84"/>
      <c r="L60" s="83"/>
      <c r="M60" s="84"/>
      <c r="N60" s="84"/>
      <c r="O60" s="296"/>
      <c r="P60" s="291"/>
      <c r="Q60" s="268"/>
    </row>
    <row r="61" spans="1:14" s="292" customFormat="1" ht="36" customHeight="1">
      <c r="A61" s="297"/>
      <c r="B61" s="300"/>
      <c r="C61" s="254" t="s">
        <v>264</v>
      </c>
      <c r="D61" s="350" t="s">
        <v>92</v>
      </c>
      <c r="E61" s="328"/>
      <c r="F61" s="357">
        <v>1</v>
      </c>
      <c r="G61" s="639"/>
      <c r="H61" s="84"/>
      <c r="I61" s="84"/>
      <c r="J61" s="83"/>
      <c r="K61" s="84"/>
      <c r="L61" s="83"/>
      <c r="M61" s="84"/>
      <c r="N61" s="84"/>
    </row>
    <row r="62" spans="1:17" s="292" customFormat="1" ht="36" customHeight="1">
      <c r="A62" s="297"/>
      <c r="B62" s="300"/>
      <c r="C62" s="254" t="s">
        <v>265</v>
      </c>
      <c r="D62" s="350" t="s">
        <v>92</v>
      </c>
      <c r="E62" s="301"/>
      <c r="F62" s="357">
        <v>10</v>
      </c>
      <c r="G62" s="639"/>
      <c r="H62" s="84"/>
      <c r="I62" s="84"/>
      <c r="J62" s="83"/>
      <c r="K62" s="84"/>
      <c r="L62" s="83"/>
      <c r="M62" s="84"/>
      <c r="N62" s="84"/>
      <c r="O62" s="296"/>
      <c r="P62" s="291"/>
      <c r="Q62" s="268"/>
    </row>
    <row r="63" spans="1:15" s="292" customFormat="1" ht="36" customHeight="1">
      <c r="A63" s="285"/>
      <c r="B63" s="293"/>
      <c r="C63" s="254" t="s">
        <v>266</v>
      </c>
      <c r="D63" s="350" t="s">
        <v>92</v>
      </c>
      <c r="E63" s="329"/>
      <c r="F63" s="357">
        <v>21</v>
      </c>
      <c r="G63" s="639"/>
      <c r="H63" s="84"/>
      <c r="I63" s="84"/>
      <c r="J63" s="83"/>
      <c r="K63" s="84"/>
      <c r="L63" s="83"/>
      <c r="M63" s="84"/>
      <c r="N63" s="84"/>
      <c r="O63" s="289"/>
    </row>
    <row r="64" spans="1:17" s="289" customFormat="1" ht="36" customHeight="1">
      <c r="A64" s="297"/>
      <c r="B64" s="338"/>
      <c r="C64" s="254" t="s">
        <v>267</v>
      </c>
      <c r="D64" s="350" t="s">
        <v>92</v>
      </c>
      <c r="E64" s="330"/>
      <c r="F64" s="357">
        <v>4</v>
      </c>
      <c r="G64" s="639"/>
      <c r="H64" s="84"/>
      <c r="I64" s="84"/>
      <c r="J64" s="83"/>
      <c r="K64" s="84"/>
      <c r="L64" s="83"/>
      <c r="M64" s="84"/>
      <c r="N64" s="84"/>
      <c r="O64" s="286"/>
      <c r="P64" s="287"/>
      <c r="Q64" s="288"/>
    </row>
    <row r="65" spans="1:17" s="292" customFormat="1" ht="36" customHeight="1">
      <c r="A65" s="297"/>
      <c r="B65" s="300"/>
      <c r="C65" s="254" t="s">
        <v>268</v>
      </c>
      <c r="D65" s="350" t="s">
        <v>92</v>
      </c>
      <c r="E65" s="301"/>
      <c r="F65" s="357">
        <v>32</v>
      </c>
      <c r="G65" s="639"/>
      <c r="H65" s="84"/>
      <c r="I65" s="84"/>
      <c r="J65" s="83"/>
      <c r="K65" s="84"/>
      <c r="L65" s="83"/>
      <c r="M65" s="84"/>
      <c r="N65" s="84"/>
      <c r="O65" s="296"/>
      <c r="P65" s="291"/>
      <c r="Q65" s="268"/>
    </row>
    <row r="66" spans="1:14" s="292" customFormat="1" ht="18" customHeight="1">
      <c r="A66" s="297"/>
      <c r="B66" s="300"/>
      <c r="C66" s="254" t="s">
        <v>269</v>
      </c>
      <c r="D66" s="350" t="s">
        <v>92</v>
      </c>
      <c r="E66" s="328"/>
      <c r="F66" s="357">
        <v>3</v>
      </c>
      <c r="G66" s="639"/>
      <c r="H66" s="84"/>
      <c r="I66" s="84"/>
      <c r="J66" s="83"/>
      <c r="K66" s="84"/>
      <c r="L66" s="83"/>
      <c r="M66" s="84"/>
      <c r="N66" s="84"/>
    </row>
    <row r="67" spans="1:17" s="292" customFormat="1" ht="18" customHeight="1">
      <c r="A67" s="297"/>
      <c r="B67" s="300"/>
      <c r="C67" s="254" t="s">
        <v>270</v>
      </c>
      <c r="D67" s="350" t="s">
        <v>92</v>
      </c>
      <c r="E67" s="301"/>
      <c r="F67" s="357">
        <v>1</v>
      </c>
      <c r="G67" s="639"/>
      <c r="H67" s="84"/>
      <c r="I67" s="84"/>
      <c r="J67" s="83"/>
      <c r="K67" s="84"/>
      <c r="L67" s="83"/>
      <c r="M67" s="84"/>
      <c r="N67" s="84"/>
      <c r="O67" s="296"/>
      <c r="P67" s="291"/>
      <c r="Q67" s="268"/>
    </row>
    <row r="68" spans="1:15" s="292" customFormat="1" ht="18" customHeight="1">
      <c r="A68" s="285"/>
      <c r="B68" s="293"/>
      <c r="C68" s="254" t="s">
        <v>271</v>
      </c>
      <c r="D68" s="350" t="s">
        <v>92</v>
      </c>
      <c r="E68" s="329"/>
      <c r="F68" s="357">
        <v>1</v>
      </c>
      <c r="G68" s="639"/>
      <c r="H68" s="84"/>
      <c r="I68" s="84"/>
      <c r="J68" s="83"/>
      <c r="K68" s="84"/>
      <c r="L68" s="83"/>
      <c r="M68" s="84"/>
      <c r="N68" s="84"/>
      <c r="O68" s="289"/>
    </row>
    <row r="69" spans="1:17" s="289" customFormat="1" ht="28.5">
      <c r="A69" s="297"/>
      <c r="B69" s="338"/>
      <c r="C69" s="254" t="s">
        <v>272</v>
      </c>
      <c r="D69" s="350" t="s">
        <v>92</v>
      </c>
      <c r="E69" s="330"/>
      <c r="F69" s="357">
        <v>1</v>
      </c>
      <c r="G69" s="639"/>
      <c r="H69" s="84"/>
      <c r="I69" s="84"/>
      <c r="J69" s="83"/>
      <c r="K69" s="84"/>
      <c r="L69" s="83"/>
      <c r="M69" s="84"/>
      <c r="N69" s="84"/>
      <c r="O69" s="286"/>
      <c r="P69" s="287"/>
      <c r="Q69" s="288"/>
    </row>
    <row r="70" spans="1:17" s="292" customFormat="1" ht="18" customHeight="1">
      <c r="A70" s="297"/>
      <c r="B70" s="300"/>
      <c r="C70" s="254" t="s">
        <v>273</v>
      </c>
      <c r="D70" s="350" t="s">
        <v>92</v>
      </c>
      <c r="E70" s="301"/>
      <c r="F70" s="357">
        <v>13</v>
      </c>
      <c r="G70" s="639"/>
      <c r="H70" s="84"/>
      <c r="I70" s="84"/>
      <c r="J70" s="83"/>
      <c r="K70" s="84"/>
      <c r="L70" s="83"/>
      <c r="M70" s="84"/>
      <c r="N70" s="84"/>
      <c r="O70" s="296"/>
      <c r="P70" s="291"/>
      <c r="Q70" s="268"/>
    </row>
    <row r="71" spans="1:17" s="289" customFormat="1" ht="36" customHeight="1">
      <c r="A71" s="297"/>
      <c r="B71" s="300"/>
      <c r="C71" s="254" t="s">
        <v>274</v>
      </c>
      <c r="D71" s="350" t="s">
        <v>92</v>
      </c>
      <c r="E71" s="328"/>
      <c r="F71" s="357">
        <v>7</v>
      </c>
      <c r="G71" s="639"/>
      <c r="H71" s="84"/>
      <c r="I71" s="84"/>
      <c r="J71" s="83"/>
      <c r="K71" s="84"/>
      <c r="L71" s="83"/>
      <c r="M71" s="84"/>
      <c r="N71" s="84"/>
      <c r="O71" s="286"/>
      <c r="P71" s="287"/>
      <c r="Q71" s="288"/>
    </row>
    <row r="72" spans="1:17" s="292" customFormat="1" ht="54" customHeight="1">
      <c r="A72" s="297"/>
      <c r="B72" s="300"/>
      <c r="C72" s="254" t="s">
        <v>275</v>
      </c>
      <c r="D72" s="350" t="s">
        <v>92</v>
      </c>
      <c r="E72" s="301"/>
      <c r="F72" s="357">
        <v>1</v>
      </c>
      <c r="G72" s="639"/>
      <c r="H72" s="84"/>
      <c r="I72" s="84"/>
      <c r="J72" s="83"/>
      <c r="K72" s="84"/>
      <c r="L72" s="83"/>
      <c r="M72" s="84"/>
      <c r="N72" s="84"/>
      <c r="O72" s="296"/>
      <c r="P72" s="291"/>
      <c r="Q72" s="268"/>
    </row>
    <row r="73" spans="1:14" s="292" customFormat="1" ht="36" customHeight="1">
      <c r="A73" s="285"/>
      <c r="B73" s="293"/>
      <c r="C73" s="254" t="s">
        <v>276</v>
      </c>
      <c r="D73" s="350" t="s">
        <v>92</v>
      </c>
      <c r="E73" s="329"/>
      <c r="F73" s="357">
        <v>1</v>
      </c>
      <c r="G73" s="639"/>
      <c r="H73" s="84"/>
      <c r="I73" s="84"/>
      <c r="J73" s="83"/>
      <c r="K73" s="84"/>
      <c r="L73" s="83"/>
      <c r="M73" s="84"/>
      <c r="N73" s="84"/>
    </row>
    <row r="74" spans="1:14" s="292" customFormat="1" ht="36" customHeight="1">
      <c r="A74" s="297"/>
      <c r="B74" s="338"/>
      <c r="C74" s="254" t="s">
        <v>277</v>
      </c>
      <c r="D74" s="350" t="s">
        <v>92</v>
      </c>
      <c r="E74" s="330"/>
      <c r="F74" s="357">
        <v>1</v>
      </c>
      <c r="G74" s="639"/>
      <c r="H74" s="84"/>
      <c r="I74" s="84"/>
      <c r="J74" s="83"/>
      <c r="K74" s="84"/>
      <c r="L74" s="83"/>
      <c r="M74" s="84"/>
      <c r="N74" s="84"/>
    </row>
    <row r="75" spans="1:14" s="292" customFormat="1" ht="36" customHeight="1">
      <c r="A75" s="297"/>
      <c r="B75" s="300"/>
      <c r="C75" s="254" t="s">
        <v>278</v>
      </c>
      <c r="D75" s="350" t="s">
        <v>92</v>
      </c>
      <c r="E75" s="301"/>
      <c r="F75" s="357">
        <v>6</v>
      </c>
      <c r="G75" s="639"/>
      <c r="H75" s="84"/>
      <c r="I75" s="84"/>
      <c r="J75" s="83"/>
      <c r="K75" s="84"/>
      <c r="L75" s="83"/>
      <c r="M75" s="84"/>
      <c r="N75" s="84"/>
    </row>
    <row r="76" spans="1:17" s="289" customFormat="1" ht="18" customHeight="1">
      <c r="A76" s="285"/>
      <c r="B76" s="337"/>
      <c r="C76" s="254" t="s">
        <v>279</v>
      </c>
      <c r="D76" s="350" t="s">
        <v>92</v>
      </c>
      <c r="E76" s="328"/>
      <c r="F76" s="357">
        <v>3</v>
      </c>
      <c r="G76" s="639"/>
      <c r="H76" s="84"/>
      <c r="I76" s="84"/>
      <c r="J76" s="83"/>
      <c r="K76" s="84"/>
      <c r="L76" s="83"/>
      <c r="M76" s="84"/>
      <c r="N76" s="84"/>
      <c r="O76" s="286"/>
      <c r="P76" s="287"/>
      <c r="Q76" s="288"/>
    </row>
    <row r="77" spans="1:17" s="292" customFormat="1" ht="18" customHeight="1">
      <c r="A77" s="285"/>
      <c r="B77" s="337"/>
      <c r="C77" s="254" t="s">
        <v>280</v>
      </c>
      <c r="D77" s="350" t="s">
        <v>281</v>
      </c>
      <c r="E77" s="301"/>
      <c r="F77" s="357">
        <v>8</v>
      </c>
      <c r="G77" s="639"/>
      <c r="H77" s="84"/>
      <c r="I77" s="84"/>
      <c r="J77" s="83"/>
      <c r="K77" s="84"/>
      <c r="L77" s="83"/>
      <c r="M77" s="84"/>
      <c r="N77" s="84"/>
      <c r="O77" s="296"/>
      <c r="P77" s="291"/>
      <c r="Q77" s="268"/>
    </row>
    <row r="78" spans="1:17" s="292" customFormat="1" ht="18" customHeight="1">
      <c r="A78" s="285"/>
      <c r="B78" s="293"/>
      <c r="C78" s="254" t="s">
        <v>282</v>
      </c>
      <c r="D78" s="350" t="s">
        <v>281</v>
      </c>
      <c r="E78" s="329"/>
      <c r="F78" s="357">
        <v>2</v>
      </c>
      <c r="G78" s="639"/>
      <c r="H78" s="84"/>
      <c r="I78" s="84"/>
      <c r="J78" s="83"/>
      <c r="K78" s="84"/>
      <c r="L78" s="83"/>
      <c r="M78" s="84"/>
      <c r="N78" s="84"/>
      <c r="O78" s="295"/>
      <c r="P78" s="268"/>
      <c r="Q78" s="268"/>
    </row>
    <row r="79" spans="1:17" s="292" customFormat="1" ht="15.75">
      <c r="A79" s="285"/>
      <c r="B79" s="293"/>
      <c r="C79" s="349" t="s">
        <v>283</v>
      </c>
      <c r="D79" s="353"/>
      <c r="E79" s="330"/>
      <c r="F79" s="342"/>
      <c r="G79" s="643"/>
      <c r="H79" s="84"/>
      <c r="I79" s="83"/>
      <c r="J79" s="84"/>
      <c r="K79" s="83"/>
      <c r="L79" s="84"/>
      <c r="M79" s="84"/>
      <c r="N79" s="84"/>
      <c r="O79" s="295"/>
      <c r="P79" s="268"/>
      <c r="Q79" s="268"/>
    </row>
    <row r="80" spans="1:14" s="292" customFormat="1" ht="18" customHeight="1">
      <c r="A80" s="285"/>
      <c r="B80" s="337"/>
      <c r="C80" s="254" t="s">
        <v>284</v>
      </c>
      <c r="D80" s="350" t="s">
        <v>92</v>
      </c>
      <c r="E80" s="301"/>
      <c r="F80" s="357">
        <v>1</v>
      </c>
      <c r="G80" s="639"/>
      <c r="H80" s="84"/>
      <c r="I80" s="84"/>
      <c r="J80" s="83"/>
      <c r="K80" s="84"/>
      <c r="L80" s="83"/>
      <c r="M80" s="84"/>
      <c r="N80" s="84"/>
    </row>
    <row r="81" spans="1:17" s="289" customFormat="1" ht="18" customHeight="1">
      <c r="A81" s="297"/>
      <c r="B81" s="300"/>
      <c r="C81" s="254" t="s">
        <v>285</v>
      </c>
      <c r="D81" s="350" t="s">
        <v>92</v>
      </c>
      <c r="E81" s="328"/>
      <c r="F81" s="357">
        <v>1</v>
      </c>
      <c r="G81" s="639"/>
      <c r="H81" s="84"/>
      <c r="I81" s="84"/>
      <c r="J81" s="83"/>
      <c r="K81" s="84"/>
      <c r="L81" s="83"/>
      <c r="M81" s="84"/>
      <c r="N81" s="84"/>
      <c r="O81" s="286"/>
      <c r="P81" s="287"/>
      <c r="Q81" s="288"/>
    </row>
    <row r="82" spans="1:17" s="292" customFormat="1" ht="18" customHeight="1">
      <c r="A82" s="297"/>
      <c r="B82" s="300"/>
      <c r="C82" s="254" t="s">
        <v>286</v>
      </c>
      <c r="D82" s="350" t="s">
        <v>92</v>
      </c>
      <c r="E82" s="301"/>
      <c r="F82" s="357">
        <v>1</v>
      </c>
      <c r="G82" s="639"/>
      <c r="H82" s="84"/>
      <c r="I82" s="84"/>
      <c r="J82" s="83"/>
      <c r="K82" s="84"/>
      <c r="L82" s="83"/>
      <c r="M82" s="84"/>
      <c r="N82" s="84"/>
      <c r="O82" s="296"/>
      <c r="P82" s="291"/>
      <c r="Q82" s="268"/>
    </row>
    <row r="83" spans="1:14" s="292" customFormat="1" ht="18" customHeight="1">
      <c r="A83" s="285"/>
      <c r="B83" s="293"/>
      <c r="C83" s="254" t="s">
        <v>260</v>
      </c>
      <c r="D83" s="350" t="s">
        <v>92</v>
      </c>
      <c r="E83" s="329"/>
      <c r="F83" s="357">
        <v>3</v>
      </c>
      <c r="G83" s="639"/>
      <c r="H83" s="84"/>
      <c r="I83" s="84"/>
      <c r="J83" s="83"/>
      <c r="K83" s="84"/>
      <c r="L83" s="83"/>
      <c r="M83" s="84"/>
      <c r="N83" s="84"/>
    </row>
    <row r="84" spans="1:14" s="292" customFormat="1" ht="36" customHeight="1">
      <c r="A84" s="297"/>
      <c r="B84" s="338"/>
      <c r="C84" s="254" t="s">
        <v>287</v>
      </c>
      <c r="D84" s="350" t="s">
        <v>92</v>
      </c>
      <c r="E84" s="330"/>
      <c r="F84" s="357">
        <v>1</v>
      </c>
      <c r="G84" s="639"/>
      <c r="H84" s="84"/>
      <c r="I84" s="84"/>
      <c r="J84" s="83"/>
      <c r="K84" s="84"/>
      <c r="L84" s="83"/>
      <c r="M84" s="84"/>
      <c r="N84" s="84"/>
    </row>
    <row r="85" spans="1:14" s="292" customFormat="1" ht="36" customHeight="1">
      <c r="A85" s="297"/>
      <c r="B85" s="300"/>
      <c r="C85" s="254" t="s">
        <v>288</v>
      </c>
      <c r="D85" s="350" t="s">
        <v>92</v>
      </c>
      <c r="E85" s="301"/>
      <c r="F85" s="357">
        <v>3</v>
      </c>
      <c r="G85" s="639"/>
      <c r="H85" s="84"/>
      <c r="I85" s="84"/>
      <c r="J85" s="83"/>
      <c r="K85" s="84"/>
      <c r="L85" s="83"/>
      <c r="M85" s="84"/>
      <c r="N85" s="84"/>
    </row>
    <row r="86" spans="1:14" s="292" customFormat="1" ht="36" customHeight="1">
      <c r="A86" s="297"/>
      <c r="B86" s="300"/>
      <c r="C86" s="254" t="s">
        <v>289</v>
      </c>
      <c r="D86" s="350" t="s">
        <v>92</v>
      </c>
      <c r="E86" s="328"/>
      <c r="F86" s="357">
        <v>2</v>
      </c>
      <c r="G86" s="639"/>
      <c r="H86" s="84"/>
      <c r="I86" s="84"/>
      <c r="J86" s="83"/>
      <c r="K86" s="84"/>
      <c r="L86" s="83"/>
      <c r="M86" s="84"/>
      <c r="N86" s="84"/>
    </row>
    <row r="87" spans="1:17" s="292" customFormat="1" ht="36" customHeight="1">
      <c r="A87" s="297"/>
      <c r="B87" s="300"/>
      <c r="C87" s="254" t="s">
        <v>290</v>
      </c>
      <c r="D87" s="350" t="s">
        <v>92</v>
      </c>
      <c r="E87" s="299"/>
      <c r="F87" s="357">
        <v>1</v>
      </c>
      <c r="G87" s="639"/>
      <c r="H87" s="84"/>
      <c r="I87" s="84"/>
      <c r="J87" s="83"/>
      <c r="K87" s="84"/>
      <c r="L87" s="83"/>
      <c r="M87" s="84"/>
      <c r="N87" s="84"/>
      <c r="O87" s="296"/>
      <c r="P87" s="291"/>
      <c r="Q87" s="268"/>
    </row>
    <row r="88" spans="1:15" s="292" customFormat="1" ht="18" customHeight="1">
      <c r="A88" s="285"/>
      <c r="B88" s="293"/>
      <c r="C88" s="254" t="s">
        <v>273</v>
      </c>
      <c r="D88" s="350" t="s">
        <v>92</v>
      </c>
      <c r="E88" s="329"/>
      <c r="F88" s="357">
        <v>3</v>
      </c>
      <c r="G88" s="639"/>
      <c r="H88" s="84"/>
      <c r="I88" s="84"/>
      <c r="J88" s="83"/>
      <c r="K88" s="84"/>
      <c r="L88" s="83"/>
      <c r="M88" s="84"/>
      <c r="N88" s="84"/>
      <c r="O88" s="289"/>
    </row>
    <row r="89" spans="1:17" s="289" customFormat="1" ht="18" customHeight="1">
      <c r="A89" s="297"/>
      <c r="B89" s="338"/>
      <c r="C89" s="254" t="s">
        <v>291</v>
      </c>
      <c r="D89" s="350" t="s">
        <v>281</v>
      </c>
      <c r="E89" s="330"/>
      <c r="F89" s="357">
        <v>2</v>
      </c>
      <c r="G89" s="639"/>
      <c r="H89" s="84"/>
      <c r="I89" s="84"/>
      <c r="J89" s="83"/>
      <c r="K89" s="84"/>
      <c r="L89" s="83"/>
      <c r="M89" s="84"/>
      <c r="N89" s="84"/>
      <c r="O89" s="286"/>
      <c r="P89" s="287"/>
      <c r="Q89" s="288"/>
    </row>
    <row r="90" spans="1:17" s="292" customFormat="1" ht="18" customHeight="1">
      <c r="A90" s="297"/>
      <c r="B90" s="300"/>
      <c r="C90" s="254" t="s">
        <v>292</v>
      </c>
      <c r="D90" s="350" t="s">
        <v>281</v>
      </c>
      <c r="E90" s="330"/>
      <c r="F90" s="357">
        <v>4</v>
      </c>
      <c r="G90" s="639"/>
      <c r="H90" s="84"/>
      <c r="I90" s="84"/>
      <c r="J90" s="83"/>
      <c r="K90" s="84"/>
      <c r="L90" s="83"/>
      <c r="M90" s="84"/>
      <c r="N90" s="84"/>
      <c r="O90" s="296"/>
      <c r="P90" s="291"/>
      <c r="Q90" s="268"/>
    </row>
    <row r="91" spans="1:14" s="292" customFormat="1" ht="18" customHeight="1">
      <c r="A91" s="297"/>
      <c r="B91" s="300"/>
      <c r="C91" s="254" t="s">
        <v>293</v>
      </c>
      <c r="D91" s="350" t="s">
        <v>92</v>
      </c>
      <c r="E91" s="328"/>
      <c r="F91" s="357">
        <v>1</v>
      </c>
      <c r="G91" s="639"/>
      <c r="H91" s="84"/>
      <c r="I91" s="84"/>
      <c r="J91" s="83"/>
      <c r="K91" s="84"/>
      <c r="L91" s="83"/>
      <c r="M91" s="84"/>
      <c r="N91" s="84"/>
    </row>
    <row r="92" spans="1:17" s="292" customFormat="1" ht="15.75">
      <c r="A92" s="297"/>
      <c r="B92" s="300"/>
      <c r="C92" s="349" t="s">
        <v>294</v>
      </c>
      <c r="D92" s="354"/>
      <c r="E92" s="301"/>
      <c r="F92" s="343"/>
      <c r="G92" s="644"/>
      <c r="H92" s="84"/>
      <c r="I92" s="83"/>
      <c r="J92" s="84"/>
      <c r="K92" s="83"/>
      <c r="L92" s="84"/>
      <c r="M92" s="84"/>
      <c r="N92" s="84"/>
      <c r="O92" s="296"/>
      <c r="P92" s="291"/>
      <c r="Q92" s="268"/>
    </row>
    <row r="93" spans="1:15" s="292" customFormat="1" ht="18" customHeight="1">
      <c r="A93" s="285"/>
      <c r="B93" s="293"/>
      <c r="C93" s="254" t="s">
        <v>295</v>
      </c>
      <c r="D93" s="350" t="s">
        <v>92</v>
      </c>
      <c r="E93" s="329"/>
      <c r="F93" s="357">
        <v>1</v>
      </c>
      <c r="G93" s="639"/>
      <c r="H93" s="84"/>
      <c r="I93" s="84"/>
      <c r="J93" s="83"/>
      <c r="K93" s="84"/>
      <c r="L93" s="83"/>
      <c r="M93" s="84"/>
      <c r="N93" s="84"/>
      <c r="O93" s="289"/>
    </row>
    <row r="94" spans="1:17" s="289" customFormat="1" ht="36" customHeight="1">
      <c r="A94" s="297"/>
      <c r="B94" s="338"/>
      <c r="C94" s="254" t="s">
        <v>296</v>
      </c>
      <c r="D94" s="350" t="s">
        <v>92</v>
      </c>
      <c r="E94" s="330"/>
      <c r="F94" s="357">
        <v>7</v>
      </c>
      <c r="G94" s="639"/>
      <c r="H94" s="84"/>
      <c r="I94" s="84"/>
      <c r="J94" s="83"/>
      <c r="K94" s="84"/>
      <c r="L94" s="83"/>
      <c r="M94" s="84"/>
      <c r="N94" s="84"/>
      <c r="O94" s="286"/>
      <c r="P94" s="287"/>
      <c r="Q94" s="288"/>
    </row>
    <row r="95" spans="1:17" s="292" customFormat="1" ht="36" customHeight="1">
      <c r="A95" s="297"/>
      <c r="B95" s="300"/>
      <c r="C95" s="254" t="s">
        <v>297</v>
      </c>
      <c r="D95" s="350" t="s">
        <v>92</v>
      </c>
      <c r="E95" s="301"/>
      <c r="F95" s="357">
        <v>1</v>
      </c>
      <c r="G95" s="639"/>
      <c r="H95" s="84"/>
      <c r="I95" s="84"/>
      <c r="J95" s="83"/>
      <c r="K95" s="84"/>
      <c r="L95" s="83"/>
      <c r="M95" s="84"/>
      <c r="N95" s="84"/>
      <c r="O95" s="296"/>
      <c r="P95" s="291"/>
      <c r="Q95" s="268"/>
    </row>
    <row r="96" spans="1:14" s="292" customFormat="1" ht="18" customHeight="1">
      <c r="A96" s="297"/>
      <c r="B96" s="300"/>
      <c r="C96" s="254" t="s">
        <v>298</v>
      </c>
      <c r="D96" s="350" t="s">
        <v>92</v>
      </c>
      <c r="E96" s="328"/>
      <c r="F96" s="357">
        <v>1</v>
      </c>
      <c r="G96" s="639"/>
      <c r="H96" s="84"/>
      <c r="I96" s="84"/>
      <c r="J96" s="83"/>
      <c r="K96" s="84"/>
      <c r="L96" s="83"/>
      <c r="M96" s="84"/>
      <c r="N96" s="84"/>
    </row>
    <row r="97" spans="1:17" s="292" customFormat="1" ht="18" customHeight="1">
      <c r="A97" s="297"/>
      <c r="B97" s="300"/>
      <c r="C97" s="254" t="s">
        <v>299</v>
      </c>
      <c r="D97" s="350" t="s">
        <v>92</v>
      </c>
      <c r="E97" s="301"/>
      <c r="F97" s="357">
        <v>1</v>
      </c>
      <c r="G97" s="639"/>
      <c r="H97" s="84"/>
      <c r="I97" s="84"/>
      <c r="J97" s="83"/>
      <c r="K97" s="84"/>
      <c r="L97" s="83"/>
      <c r="M97" s="84"/>
      <c r="N97" s="84"/>
      <c r="O97" s="296"/>
      <c r="P97" s="291"/>
      <c r="Q97" s="268"/>
    </row>
    <row r="98" spans="1:15" s="292" customFormat="1" ht="15.75">
      <c r="A98" s="285"/>
      <c r="B98" s="293"/>
      <c r="C98" s="349" t="s">
        <v>300</v>
      </c>
      <c r="D98" s="354"/>
      <c r="E98" s="329"/>
      <c r="F98" s="343"/>
      <c r="G98" s="644"/>
      <c r="H98" s="242"/>
      <c r="I98" s="83"/>
      <c r="J98" s="84"/>
      <c r="K98" s="83"/>
      <c r="L98" s="84"/>
      <c r="M98" s="84"/>
      <c r="N98" s="84"/>
      <c r="O98" s="289"/>
    </row>
    <row r="99" spans="1:17" s="289" customFormat="1" ht="18" customHeight="1">
      <c r="A99" s="297"/>
      <c r="B99" s="338"/>
      <c r="C99" s="254" t="s">
        <v>301</v>
      </c>
      <c r="D99" s="350" t="s">
        <v>92</v>
      </c>
      <c r="E99" s="330"/>
      <c r="F99" s="357">
        <v>1</v>
      </c>
      <c r="G99" s="639"/>
      <c r="H99" s="84"/>
      <c r="I99" s="84"/>
      <c r="J99" s="83"/>
      <c r="K99" s="84"/>
      <c r="L99" s="83"/>
      <c r="M99" s="84"/>
      <c r="N99" s="84"/>
      <c r="O99" s="286"/>
      <c r="P99" s="287"/>
      <c r="Q99" s="288"/>
    </row>
    <row r="100" spans="1:17" s="292" customFormat="1" ht="18" customHeight="1">
      <c r="A100" s="297"/>
      <c r="B100" s="300"/>
      <c r="C100" s="254" t="s">
        <v>258</v>
      </c>
      <c r="D100" s="350" t="s">
        <v>92</v>
      </c>
      <c r="E100" s="301"/>
      <c r="F100" s="357">
        <v>5</v>
      </c>
      <c r="G100" s="639"/>
      <c r="H100" s="84"/>
      <c r="I100" s="84"/>
      <c r="J100" s="83"/>
      <c r="K100" s="84"/>
      <c r="L100" s="83"/>
      <c r="M100" s="84"/>
      <c r="N100" s="84"/>
      <c r="O100" s="296"/>
      <c r="P100" s="291"/>
      <c r="Q100" s="268"/>
    </row>
    <row r="101" spans="1:14" s="292" customFormat="1" ht="18" customHeight="1">
      <c r="A101" s="297"/>
      <c r="B101" s="300"/>
      <c r="C101" s="254" t="s">
        <v>286</v>
      </c>
      <c r="D101" s="350" t="s">
        <v>92</v>
      </c>
      <c r="E101" s="328"/>
      <c r="F101" s="357">
        <v>1</v>
      </c>
      <c r="G101" s="639"/>
      <c r="H101" s="84"/>
      <c r="I101" s="84"/>
      <c r="J101" s="83"/>
      <c r="K101" s="84"/>
      <c r="L101" s="83"/>
      <c r="M101" s="84"/>
      <c r="N101" s="84"/>
    </row>
    <row r="102" spans="1:17" s="292" customFormat="1" ht="18" customHeight="1">
      <c r="A102" s="297"/>
      <c r="B102" s="300"/>
      <c r="C102" s="254" t="s">
        <v>260</v>
      </c>
      <c r="D102" s="350" t="s">
        <v>92</v>
      </c>
      <c r="E102" s="301"/>
      <c r="F102" s="357">
        <v>3</v>
      </c>
      <c r="G102" s="639"/>
      <c r="H102" s="84"/>
      <c r="I102" s="84"/>
      <c r="J102" s="83"/>
      <c r="K102" s="84"/>
      <c r="L102" s="83"/>
      <c r="M102" s="84"/>
      <c r="N102" s="84"/>
      <c r="O102" s="296"/>
      <c r="P102" s="291"/>
      <c r="Q102" s="268"/>
    </row>
    <row r="103" spans="1:15" s="292" customFormat="1" ht="18" customHeight="1">
      <c r="A103" s="285"/>
      <c r="B103" s="293"/>
      <c r="C103" s="254" t="s">
        <v>302</v>
      </c>
      <c r="D103" s="350" t="s">
        <v>92</v>
      </c>
      <c r="E103" s="329"/>
      <c r="F103" s="357">
        <v>1</v>
      </c>
      <c r="G103" s="639"/>
      <c r="H103" s="84"/>
      <c r="I103" s="84"/>
      <c r="J103" s="83"/>
      <c r="K103" s="84"/>
      <c r="L103" s="83"/>
      <c r="M103" s="84"/>
      <c r="N103" s="84"/>
      <c r="O103" s="289"/>
    </row>
    <row r="104" spans="1:17" s="289" customFormat="1" ht="18" customHeight="1">
      <c r="A104" s="297"/>
      <c r="B104" s="338"/>
      <c r="C104" s="254" t="s">
        <v>299</v>
      </c>
      <c r="D104" s="350" t="s">
        <v>92</v>
      </c>
      <c r="E104" s="330"/>
      <c r="F104" s="357">
        <v>1</v>
      </c>
      <c r="G104" s="639"/>
      <c r="H104" s="84"/>
      <c r="I104" s="84"/>
      <c r="J104" s="83"/>
      <c r="K104" s="84"/>
      <c r="L104" s="83"/>
      <c r="M104" s="84"/>
      <c r="N104" s="84"/>
      <c r="O104" s="286"/>
      <c r="P104" s="287"/>
      <c r="Q104" s="288"/>
    </row>
    <row r="105" spans="1:17" s="292" customFormat="1" ht="36" customHeight="1">
      <c r="A105" s="297"/>
      <c r="B105" s="300"/>
      <c r="C105" s="254" t="s">
        <v>303</v>
      </c>
      <c r="D105" s="350" t="s">
        <v>92</v>
      </c>
      <c r="E105" s="301"/>
      <c r="F105" s="357">
        <v>5</v>
      </c>
      <c r="G105" s="639"/>
      <c r="H105" s="84"/>
      <c r="I105" s="84"/>
      <c r="J105" s="83"/>
      <c r="K105" s="84"/>
      <c r="L105" s="83"/>
      <c r="M105" s="84"/>
      <c r="N105" s="84"/>
      <c r="O105" s="296"/>
      <c r="P105" s="291"/>
      <c r="Q105" s="268"/>
    </row>
    <row r="106" spans="1:14" s="292" customFormat="1" ht="36" customHeight="1">
      <c r="A106" s="297"/>
      <c r="B106" s="300"/>
      <c r="C106" s="254" t="s">
        <v>304</v>
      </c>
      <c r="D106" s="350" t="s">
        <v>92</v>
      </c>
      <c r="E106" s="328"/>
      <c r="F106" s="357">
        <v>1</v>
      </c>
      <c r="G106" s="639"/>
      <c r="H106" s="84"/>
      <c r="I106" s="84"/>
      <c r="J106" s="83"/>
      <c r="K106" s="84"/>
      <c r="L106" s="83"/>
      <c r="M106" s="84"/>
      <c r="N106" s="84"/>
    </row>
    <row r="107" spans="1:17" s="292" customFormat="1" ht="36" customHeight="1">
      <c r="A107" s="297"/>
      <c r="B107" s="300"/>
      <c r="C107" s="254" t="s">
        <v>287</v>
      </c>
      <c r="D107" s="350" t="s">
        <v>92</v>
      </c>
      <c r="E107" s="299"/>
      <c r="F107" s="357">
        <v>1</v>
      </c>
      <c r="G107" s="639"/>
      <c r="H107" s="84"/>
      <c r="I107" s="84"/>
      <c r="J107" s="83"/>
      <c r="K107" s="84"/>
      <c r="L107" s="83"/>
      <c r="M107" s="84"/>
      <c r="N107" s="84"/>
      <c r="O107" s="296"/>
      <c r="P107" s="291"/>
      <c r="Q107" s="268"/>
    </row>
    <row r="108" spans="1:15" s="292" customFormat="1" ht="36" customHeight="1">
      <c r="A108" s="285"/>
      <c r="B108" s="293"/>
      <c r="C108" s="254" t="s">
        <v>305</v>
      </c>
      <c r="D108" s="350" t="s">
        <v>92</v>
      </c>
      <c r="E108" s="329"/>
      <c r="F108" s="357">
        <v>1</v>
      </c>
      <c r="G108" s="639"/>
      <c r="H108" s="84"/>
      <c r="I108" s="84"/>
      <c r="J108" s="83"/>
      <c r="K108" s="84"/>
      <c r="L108" s="83"/>
      <c r="M108" s="84"/>
      <c r="N108" s="84"/>
      <c r="O108" s="289"/>
    </row>
    <row r="109" spans="1:17" s="289" customFormat="1" ht="36" customHeight="1">
      <c r="A109" s="297"/>
      <c r="B109" s="338"/>
      <c r="C109" s="254" t="s">
        <v>289</v>
      </c>
      <c r="D109" s="350" t="s">
        <v>92</v>
      </c>
      <c r="E109" s="330"/>
      <c r="F109" s="357">
        <v>5</v>
      </c>
      <c r="G109" s="639"/>
      <c r="H109" s="84"/>
      <c r="I109" s="84"/>
      <c r="J109" s="83"/>
      <c r="K109" s="84"/>
      <c r="L109" s="83"/>
      <c r="M109" s="84"/>
      <c r="N109" s="84"/>
      <c r="O109" s="286"/>
      <c r="P109" s="287"/>
      <c r="Q109" s="288"/>
    </row>
    <row r="110" spans="1:17" s="292" customFormat="1" ht="18" customHeight="1">
      <c r="A110" s="297"/>
      <c r="B110" s="300"/>
      <c r="C110" s="254" t="s">
        <v>273</v>
      </c>
      <c r="D110" s="350" t="s">
        <v>92</v>
      </c>
      <c r="E110" s="330"/>
      <c r="F110" s="357">
        <v>3</v>
      </c>
      <c r="G110" s="639"/>
      <c r="H110" s="84"/>
      <c r="I110" s="84"/>
      <c r="J110" s="83"/>
      <c r="K110" s="84"/>
      <c r="L110" s="83"/>
      <c r="M110" s="84"/>
      <c r="N110" s="84"/>
      <c r="O110" s="296"/>
      <c r="P110" s="291"/>
      <c r="Q110" s="268"/>
    </row>
    <row r="111" spans="1:14" s="292" customFormat="1" ht="28.5">
      <c r="A111" s="297"/>
      <c r="B111" s="300"/>
      <c r="C111" s="254" t="s">
        <v>306</v>
      </c>
      <c r="D111" s="350" t="s">
        <v>92</v>
      </c>
      <c r="E111" s="328"/>
      <c r="F111" s="357">
        <v>5</v>
      </c>
      <c r="G111" s="639"/>
      <c r="H111" s="84"/>
      <c r="I111" s="84"/>
      <c r="J111" s="83"/>
      <c r="K111" s="84"/>
      <c r="L111" s="83"/>
      <c r="M111" s="84"/>
      <c r="N111" s="84"/>
    </row>
    <row r="112" spans="1:17" s="292" customFormat="1" ht="18" customHeight="1">
      <c r="A112" s="297"/>
      <c r="B112" s="300"/>
      <c r="C112" s="254" t="s">
        <v>291</v>
      </c>
      <c r="D112" s="350" t="s">
        <v>281</v>
      </c>
      <c r="E112" s="299"/>
      <c r="F112" s="357">
        <v>2</v>
      </c>
      <c r="G112" s="639"/>
      <c r="H112" s="84"/>
      <c r="I112" s="84"/>
      <c r="J112" s="83"/>
      <c r="K112" s="84"/>
      <c r="L112" s="83"/>
      <c r="M112" s="84"/>
      <c r="N112" s="84"/>
      <c r="O112" s="296"/>
      <c r="P112" s="291"/>
      <c r="Q112" s="268"/>
    </row>
    <row r="113" spans="1:14" s="292" customFormat="1" ht="18" customHeight="1">
      <c r="A113" s="285"/>
      <c r="B113" s="293"/>
      <c r="C113" s="254" t="s">
        <v>292</v>
      </c>
      <c r="D113" s="350" t="s">
        <v>281</v>
      </c>
      <c r="E113" s="329"/>
      <c r="F113" s="357">
        <v>4</v>
      </c>
      <c r="G113" s="639"/>
      <c r="H113" s="84"/>
      <c r="I113" s="84"/>
      <c r="J113" s="83"/>
      <c r="K113" s="84"/>
      <c r="L113" s="83"/>
      <c r="M113" s="84"/>
      <c r="N113" s="84"/>
    </row>
    <row r="114" spans="1:16" s="283" customFormat="1" ht="18" customHeight="1">
      <c r="A114" s="276"/>
      <c r="B114" s="336"/>
      <c r="C114" s="277" t="s">
        <v>307</v>
      </c>
      <c r="D114" s="278"/>
      <c r="E114" s="327"/>
      <c r="F114" s="279"/>
      <c r="G114" s="279"/>
      <c r="H114" s="43"/>
      <c r="I114" s="44"/>
      <c r="J114" s="44"/>
      <c r="K114" s="516"/>
      <c r="L114" s="44"/>
      <c r="M114" s="44"/>
      <c r="N114" s="44"/>
      <c r="P114" s="284"/>
    </row>
    <row r="115" spans="1:17" s="292" customFormat="1" ht="18" customHeight="1">
      <c r="A115" s="297"/>
      <c r="B115" s="300"/>
      <c r="C115" s="254" t="s">
        <v>308</v>
      </c>
      <c r="D115" s="355" t="s">
        <v>92</v>
      </c>
      <c r="E115" s="330"/>
      <c r="F115" s="359">
        <f>334</f>
        <v>334</v>
      </c>
      <c r="G115" s="645"/>
      <c r="H115" s="84"/>
      <c r="I115" s="84"/>
      <c r="J115" s="83"/>
      <c r="K115" s="84"/>
      <c r="L115" s="83"/>
      <c r="M115" s="84"/>
      <c r="N115" s="84"/>
      <c r="O115" s="296"/>
      <c r="P115" s="291"/>
      <c r="Q115" s="268"/>
    </row>
    <row r="116" spans="1:14" s="292" customFormat="1" ht="18" customHeight="1">
      <c r="A116" s="297"/>
      <c r="B116" s="300"/>
      <c r="C116" s="254" t="s">
        <v>309</v>
      </c>
      <c r="D116" s="355" t="s">
        <v>92</v>
      </c>
      <c r="E116" s="328"/>
      <c r="F116" s="359">
        <v>11</v>
      </c>
      <c r="G116" s="645"/>
      <c r="H116" s="84"/>
      <c r="I116" s="84"/>
      <c r="J116" s="83"/>
      <c r="K116" s="84"/>
      <c r="L116" s="83"/>
      <c r="M116" s="84"/>
      <c r="N116" s="84"/>
    </row>
    <row r="117" spans="1:17" s="292" customFormat="1" ht="18" customHeight="1">
      <c r="A117" s="297"/>
      <c r="B117" s="300"/>
      <c r="C117" s="254" t="s">
        <v>310</v>
      </c>
      <c r="D117" s="355" t="s">
        <v>92</v>
      </c>
      <c r="E117" s="301"/>
      <c r="F117" s="359">
        <v>51</v>
      </c>
      <c r="G117" s="645"/>
      <c r="H117" s="84"/>
      <c r="I117" s="84"/>
      <c r="J117" s="83"/>
      <c r="K117" s="84"/>
      <c r="L117" s="83"/>
      <c r="M117" s="84"/>
      <c r="N117" s="84"/>
      <c r="O117" s="296"/>
      <c r="P117" s="291"/>
      <c r="Q117" s="268"/>
    </row>
    <row r="118" spans="1:15" s="292" customFormat="1" ht="18" customHeight="1">
      <c r="A118" s="285"/>
      <c r="B118" s="293"/>
      <c r="C118" s="254" t="s">
        <v>311</v>
      </c>
      <c r="D118" s="355" t="s">
        <v>92</v>
      </c>
      <c r="E118" s="329"/>
      <c r="F118" s="359">
        <v>9</v>
      </c>
      <c r="G118" s="645"/>
      <c r="H118" s="84"/>
      <c r="I118" s="84"/>
      <c r="J118" s="83"/>
      <c r="K118" s="84"/>
      <c r="L118" s="83"/>
      <c r="M118" s="84"/>
      <c r="N118" s="84"/>
      <c r="O118" s="289"/>
    </row>
    <row r="119" spans="1:17" s="289" customFormat="1" ht="18" customHeight="1">
      <c r="A119" s="297"/>
      <c r="B119" s="338"/>
      <c r="C119" s="254" t="s">
        <v>312</v>
      </c>
      <c r="D119" s="355" t="s">
        <v>215</v>
      </c>
      <c r="E119" s="330"/>
      <c r="F119" s="359">
        <f>(1.6*8)+54+(4.5*7)</f>
        <v>98.3</v>
      </c>
      <c r="G119" s="645"/>
      <c r="H119" s="84"/>
      <c r="I119" s="84"/>
      <c r="J119" s="83"/>
      <c r="K119" s="84"/>
      <c r="L119" s="83"/>
      <c r="M119" s="84"/>
      <c r="N119" s="84"/>
      <c r="O119" s="286"/>
      <c r="P119" s="287"/>
      <c r="Q119" s="288"/>
    </row>
    <row r="120" spans="1:17" s="292" customFormat="1" ht="18" customHeight="1">
      <c r="A120" s="297"/>
      <c r="B120" s="300"/>
      <c r="C120" s="254" t="s">
        <v>313</v>
      </c>
      <c r="D120" s="355" t="s">
        <v>92</v>
      </c>
      <c r="E120" s="301"/>
      <c r="F120" s="359">
        <v>4</v>
      </c>
      <c r="G120" s="645"/>
      <c r="H120" s="84"/>
      <c r="I120" s="84"/>
      <c r="J120" s="83"/>
      <c r="K120" s="84"/>
      <c r="L120" s="83"/>
      <c r="M120" s="84"/>
      <c r="N120" s="84"/>
      <c r="O120" s="296"/>
      <c r="P120" s="291"/>
      <c r="Q120" s="268"/>
    </row>
    <row r="121" spans="1:14" s="292" customFormat="1" ht="18" customHeight="1">
      <c r="A121" s="297"/>
      <c r="B121" s="300"/>
      <c r="C121" s="254" t="s">
        <v>314</v>
      </c>
      <c r="D121" s="355" t="s">
        <v>92</v>
      </c>
      <c r="E121" s="328"/>
      <c r="F121" s="359">
        <v>4</v>
      </c>
      <c r="G121" s="645"/>
      <c r="H121" s="84"/>
      <c r="I121" s="84"/>
      <c r="J121" s="83"/>
      <c r="K121" s="84"/>
      <c r="L121" s="83"/>
      <c r="M121" s="84"/>
      <c r="N121" s="84"/>
    </row>
    <row r="122" spans="1:17" s="292" customFormat="1" ht="18" customHeight="1">
      <c r="A122" s="297"/>
      <c r="B122" s="300"/>
      <c r="C122" s="254" t="s">
        <v>315</v>
      </c>
      <c r="D122" s="355" t="s">
        <v>92</v>
      </c>
      <c r="E122" s="299"/>
      <c r="F122" s="359">
        <v>2</v>
      </c>
      <c r="G122" s="645"/>
      <c r="H122" s="84"/>
      <c r="I122" s="84"/>
      <c r="J122" s="83"/>
      <c r="K122" s="84"/>
      <c r="L122" s="83"/>
      <c r="M122" s="84"/>
      <c r="N122" s="84"/>
      <c r="O122" s="296"/>
      <c r="P122" s="291"/>
      <c r="Q122" s="268"/>
    </row>
    <row r="123" spans="1:15" s="292" customFormat="1" ht="18" customHeight="1">
      <c r="A123" s="285"/>
      <c r="B123" s="293"/>
      <c r="C123" s="254" t="s">
        <v>316</v>
      </c>
      <c r="D123" s="355" t="s">
        <v>92</v>
      </c>
      <c r="E123" s="331"/>
      <c r="F123" s="359">
        <v>44</v>
      </c>
      <c r="G123" s="645"/>
      <c r="H123" s="84"/>
      <c r="I123" s="84"/>
      <c r="J123" s="83"/>
      <c r="K123" s="84"/>
      <c r="L123" s="83"/>
      <c r="M123" s="84"/>
      <c r="N123" s="84"/>
      <c r="O123" s="289"/>
    </row>
    <row r="124" spans="1:17" s="289" customFormat="1" ht="18" customHeight="1">
      <c r="A124" s="297"/>
      <c r="B124" s="338"/>
      <c r="C124" s="254" t="s">
        <v>317</v>
      </c>
      <c r="D124" s="355" t="s">
        <v>92</v>
      </c>
      <c r="E124" s="330"/>
      <c r="F124" s="359">
        <v>38</v>
      </c>
      <c r="G124" s="645"/>
      <c r="H124" s="84"/>
      <c r="I124" s="84"/>
      <c r="J124" s="83"/>
      <c r="K124" s="84"/>
      <c r="L124" s="83"/>
      <c r="M124" s="84"/>
      <c r="N124" s="84"/>
      <c r="O124" s="286"/>
      <c r="P124" s="287"/>
      <c r="Q124" s="288"/>
    </row>
    <row r="125" spans="1:17" s="292" customFormat="1" ht="18" customHeight="1">
      <c r="A125" s="297"/>
      <c r="B125" s="300"/>
      <c r="C125" s="254" t="s">
        <v>318</v>
      </c>
      <c r="D125" s="355" t="s">
        <v>92</v>
      </c>
      <c r="E125" s="301"/>
      <c r="F125" s="359">
        <v>6</v>
      </c>
      <c r="G125" s="645"/>
      <c r="H125" s="84"/>
      <c r="I125" s="84"/>
      <c r="J125" s="83"/>
      <c r="K125" s="84"/>
      <c r="L125" s="83"/>
      <c r="M125" s="84"/>
      <c r="N125" s="84"/>
      <c r="O125" s="296"/>
      <c r="P125" s="291"/>
      <c r="Q125" s="268"/>
    </row>
    <row r="126" spans="1:14" s="292" customFormat="1" ht="18" customHeight="1">
      <c r="A126" s="297"/>
      <c r="B126" s="300"/>
      <c r="C126" s="254" t="s">
        <v>319</v>
      </c>
      <c r="D126" s="355" t="s">
        <v>92</v>
      </c>
      <c r="E126" s="328"/>
      <c r="F126" s="359">
        <v>8</v>
      </c>
      <c r="G126" s="645"/>
      <c r="H126" s="84"/>
      <c r="I126" s="84"/>
      <c r="J126" s="83"/>
      <c r="K126" s="84"/>
      <c r="L126" s="83"/>
      <c r="M126" s="84"/>
      <c r="N126" s="84"/>
    </row>
    <row r="127" spans="1:16" s="283" customFormat="1" ht="18" customHeight="1">
      <c r="A127" s="276"/>
      <c r="B127" s="336"/>
      <c r="C127" s="277" t="s">
        <v>320</v>
      </c>
      <c r="D127" s="278"/>
      <c r="E127" s="327"/>
      <c r="F127" s="279"/>
      <c r="G127" s="279"/>
      <c r="H127" s="43"/>
      <c r="I127" s="44"/>
      <c r="J127" s="44"/>
      <c r="K127" s="516"/>
      <c r="L127" s="44"/>
      <c r="M127" s="44"/>
      <c r="N127" s="44"/>
      <c r="P127" s="284"/>
    </row>
    <row r="128" spans="1:15" s="292" customFormat="1" ht="18" customHeight="1">
      <c r="A128" s="285"/>
      <c r="B128" s="293"/>
      <c r="C128" s="254" t="s">
        <v>321</v>
      </c>
      <c r="D128" s="350" t="s">
        <v>92</v>
      </c>
      <c r="E128" s="331"/>
      <c r="F128" s="359">
        <v>15</v>
      </c>
      <c r="G128" s="645"/>
      <c r="H128" s="84"/>
      <c r="I128" s="84"/>
      <c r="J128" s="83"/>
      <c r="K128" s="84"/>
      <c r="L128" s="83"/>
      <c r="M128" s="84"/>
      <c r="N128" s="84"/>
      <c r="O128" s="289"/>
    </row>
    <row r="129" spans="1:17" s="289" customFormat="1" ht="18" customHeight="1">
      <c r="A129" s="297"/>
      <c r="B129" s="338"/>
      <c r="C129" s="254" t="s">
        <v>322</v>
      </c>
      <c r="D129" s="350" t="s">
        <v>92</v>
      </c>
      <c r="E129" s="330"/>
      <c r="F129" s="359">
        <v>3</v>
      </c>
      <c r="G129" s="645"/>
      <c r="H129" s="84"/>
      <c r="I129" s="84"/>
      <c r="J129" s="83"/>
      <c r="K129" s="84"/>
      <c r="L129" s="83"/>
      <c r="M129" s="84"/>
      <c r="N129" s="84"/>
      <c r="O129" s="286"/>
      <c r="P129" s="287"/>
      <c r="Q129" s="288"/>
    </row>
    <row r="130" spans="1:17" s="292" customFormat="1" ht="18" customHeight="1">
      <c r="A130" s="297"/>
      <c r="B130" s="300"/>
      <c r="C130" s="254" t="s">
        <v>323</v>
      </c>
      <c r="D130" s="350" t="s">
        <v>92</v>
      </c>
      <c r="E130" s="301"/>
      <c r="F130" s="359">
        <v>6</v>
      </c>
      <c r="G130" s="645"/>
      <c r="H130" s="84"/>
      <c r="I130" s="84"/>
      <c r="J130" s="83"/>
      <c r="K130" s="84"/>
      <c r="L130" s="83"/>
      <c r="M130" s="84"/>
      <c r="N130" s="84"/>
      <c r="O130" s="296"/>
      <c r="P130" s="291"/>
      <c r="Q130" s="268"/>
    </row>
    <row r="131" spans="1:17" s="289" customFormat="1" ht="18" customHeight="1">
      <c r="A131" s="297"/>
      <c r="B131" s="300"/>
      <c r="C131" s="254" t="s">
        <v>324</v>
      </c>
      <c r="D131" s="350" t="s">
        <v>92</v>
      </c>
      <c r="E131" s="328"/>
      <c r="F131" s="359">
        <v>1</v>
      </c>
      <c r="G131" s="645"/>
      <c r="H131" s="84"/>
      <c r="I131" s="84"/>
      <c r="J131" s="83"/>
      <c r="K131" s="84"/>
      <c r="L131" s="83"/>
      <c r="M131" s="84"/>
      <c r="N131" s="84"/>
      <c r="O131" s="286"/>
      <c r="P131" s="287"/>
      <c r="Q131" s="288"/>
    </row>
    <row r="132" spans="1:17" s="292" customFormat="1" ht="18" customHeight="1">
      <c r="A132" s="297"/>
      <c r="B132" s="300"/>
      <c r="C132" s="254" t="s">
        <v>325</v>
      </c>
      <c r="D132" s="350" t="s">
        <v>281</v>
      </c>
      <c r="E132" s="301"/>
      <c r="F132" s="359">
        <v>65</v>
      </c>
      <c r="G132" s="645"/>
      <c r="H132" s="84"/>
      <c r="I132" s="84"/>
      <c r="J132" s="83"/>
      <c r="K132" s="84"/>
      <c r="L132" s="83"/>
      <c r="M132" s="84"/>
      <c r="N132" s="84"/>
      <c r="O132" s="296"/>
      <c r="P132" s="291"/>
      <c r="Q132" s="268"/>
    </row>
    <row r="133" spans="1:17" s="313" customFormat="1" ht="15" customHeight="1" thickBot="1">
      <c r="A133" s="267"/>
      <c r="B133" s="324"/>
      <c r="C133" s="308"/>
      <c r="D133" s="308"/>
      <c r="E133" s="332"/>
      <c r="F133" s="288"/>
      <c r="G133" s="288"/>
      <c r="H133" s="519"/>
      <c r="I133" s="520"/>
      <c r="J133" s="520"/>
      <c r="K133" s="521"/>
      <c r="L133" s="520"/>
      <c r="M133" s="521"/>
      <c r="N133" s="522"/>
      <c r="P133" s="267"/>
      <c r="Q133" s="267"/>
    </row>
    <row r="134" spans="1:17" s="202" customFormat="1" ht="18" customHeight="1">
      <c r="A134" s="197"/>
      <c r="B134" s="198"/>
      <c r="C134" s="160" t="s">
        <v>358</v>
      </c>
      <c r="D134" s="114"/>
      <c r="E134" s="114"/>
      <c r="F134" s="165"/>
      <c r="G134" s="165"/>
      <c r="H134" s="165"/>
      <c r="I134" s="166">
        <f>SUM(I11:I133)</f>
        <v>0</v>
      </c>
      <c r="J134" s="166"/>
      <c r="K134" s="166">
        <f>SUM(K11:K133)</f>
        <v>0</v>
      </c>
      <c r="L134" s="166"/>
      <c r="M134" s="166">
        <f>SUM(M11:M133)</f>
        <v>0</v>
      </c>
      <c r="N134" s="166">
        <f>SUM(N11:N133)</f>
        <v>0</v>
      </c>
      <c r="O134" s="199"/>
      <c r="P134" s="200"/>
      <c r="Q134" s="201"/>
    </row>
    <row r="135" spans="1:17" s="67" customFormat="1" ht="18" customHeight="1">
      <c r="A135" s="203"/>
      <c r="B135" s="123"/>
      <c r="C135" s="63" t="s">
        <v>133</v>
      </c>
      <c r="D135" s="72">
        <v>0.03</v>
      </c>
      <c r="E135" s="5"/>
      <c r="F135" s="204"/>
      <c r="G135" s="204"/>
      <c r="H135" s="63"/>
      <c r="I135" s="64"/>
      <c r="J135" s="64"/>
      <c r="K135" s="64"/>
      <c r="L135" s="64"/>
      <c r="M135" s="64"/>
      <c r="N135" s="65">
        <f>I134*D135</f>
        <v>0</v>
      </c>
      <c r="O135" s="205"/>
      <c r="P135" s="219"/>
      <c r="Q135" s="219"/>
    </row>
    <row r="136" spans="1:17" s="61" customFormat="1" ht="18" customHeight="1">
      <c r="A136" s="203"/>
      <c r="B136" s="123"/>
      <c r="C136" s="63" t="s">
        <v>68</v>
      </c>
      <c r="D136" s="69"/>
      <c r="E136" s="5"/>
      <c r="F136" s="68"/>
      <c r="G136" s="68"/>
      <c r="H136" s="68"/>
      <c r="I136" s="70"/>
      <c r="J136" s="70"/>
      <c r="K136" s="70"/>
      <c r="L136" s="70"/>
      <c r="M136" s="70"/>
      <c r="N136" s="65">
        <f>SUM(N134:N135)</f>
        <v>0</v>
      </c>
      <c r="O136" s="124"/>
      <c r="P136" s="220"/>
      <c r="Q136" s="220"/>
    </row>
    <row r="137" spans="1:17" s="67" customFormat="1" ht="18" customHeight="1">
      <c r="A137" s="203"/>
      <c r="B137" s="123"/>
      <c r="C137" s="63" t="s">
        <v>123</v>
      </c>
      <c r="D137" s="72">
        <v>0.1</v>
      </c>
      <c r="E137" s="5"/>
      <c r="F137" s="204"/>
      <c r="G137" s="204"/>
      <c r="H137" s="63"/>
      <c r="I137" s="64"/>
      <c r="J137" s="64"/>
      <c r="K137" s="64"/>
      <c r="L137" s="64"/>
      <c r="M137" s="64"/>
      <c r="N137" s="65">
        <f>N136*D137</f>
        <v>0</v>
      </c>
      <c r="O137" s="205"/>
      <c r="P137" s="219"/>
      <c r="Q137" s="219"/>
    </row>
    <row r="138" spans="1:17" s="61" customFormat="1" ht="18" customHeight="1">
      <c r="A138" s="203"/>
      <c r="B138" s="123"/>
      <c r="C138" s="63" t="s">
        <v>68</v>
      </c>
      <c r="D138" s="69"/>
      <c r="E138" s="5"/>
      <c r="F138" s="68"/>
      <c r="G138" s="68"/>
      <c r="H138" s="68"/>
      <c r="I138" s="70"/>
      <c r="J138" s="70"/>
      <c r="K138" s="70"/>
      <c r="L138" s="70"/>
      <c r="M138" s="70"/>
      <c r="N138" s="65">
        <f>SUM(N136:N137)</f>
        <v>0</v>
      </c>
      <c r="O138" s="124"/>
      <c r="P138" s="220"/>
      <c r="Q138" s="220"/>
    </row>
    <row r="139" spans="1:15" s="67" customFormat="1" ht="18" customHeight="1">
      <c r="A139" s="203"/>
      <c r="B139" s="123"/>
      <c r="C139" s="63" t="s">
        <v>124</v>
      </c>
      <c r="D139" s="72">
        <v>0.08</v>
      </c>
      <c r="E139" s="5"/>
      <c r="F139" s="204"/>
      <c r="G139" s="204"/>
      <c r="H139" s="63"/>
      <c r="I139" s="64"/>
      <c r="J139" s="64"/>
      <c r="K139" s="64"/>
      <c r="L139" s="64"/>
      <c r="M139" s="64"/>
      <c r="N139" s="65">
        <f>N138*D139</f>
        <v>0</v>
      </c>
      <c r="O139" s="124"/>
    </row>
    <row r="140" spans="1:15" s="210" customFormat="1" ht="21" customHeight="1" thickBot="1">
      <c r="A140" s="206"/>
      <c r="B140" s="207"/>
      <c r="C140" s="161" t="s">
        <v>141</v>
      </c>
      <c r="D140" s="115"/>
      <c r="E140" s="116"/>
      <c r="F140" s="208"/>
      <c r="G140" s="208"/>
      <c r="H140" s="161"/>
      <c r="I140" s="167"/>
      <c r="J140" s="167"/>
      <c r="K140" s="167"/>
      <c r="L140" s="167"/>
      <c r="M140" s="167"/>
      <c r="N140" s="168">
        <f>SUM(N138:N139)</f>
        <v>0</v>
      </c>
      <c r="O140" s="209"/>
    </row>
    <row r="141" spans="1:15" s="86" customFormat="1" ht="15">
      <c r="A141" s="24"/>
      <c r="B141" s="90"/>
      <c r="C141" s="162"/>
      <c r="D141" s="117"/>
      <c r="E141" s="24"/>
      <c r="F141" s="162"/>
      <c r="G141" s="162"/>
      <c r="H141" s="162"/>
      <c r="I141" s="162"/>
      <c r="J141" s="169"/>
      <c r="K141" s="162"/>
      <c r="L141" s="169"/>
      <c r="M141" s="162"/>
      <c r="N141" s="67"/>
      <c r="O141" s="211"/>
    </row>
    <row r="142" spans="1:15" s="86" customFormat="1" ht="15">
      <c r="A142" s="24"/>
      <c r="B142" s="90"/>
      <c r="C142" s="82"/>
      <c r="D142" s="117"/>
      <c r="E142" s="24"/>
      <c r="F142" s="162"/>
      <c r="G142" s="162"/>
      <c r="H142" s="162"/>
      <c r="I142" s="162"/>
      <c r="J142" s="169"/>
      <c r="K142" s="162"/>
      <c r="L142" s="169"/>
      <c r="M142" s="162"/>
      <c r="N142" s="67"/>
      <c r="O142" s="142"/>
    </row>
    <row r="143" spans="1:15" s="86" customFormat="1" ht="15">
      <c r="A143" s="24"/>
      <c r="B143" s="90"/>
      <c r="C143" s="82"/>
      <c r="D143" s="117"/>
      <c r="E143" s="24"/>
      <c r="F143" s="162"/>
      <c r="G143" s="162"/>
      <c r="H143" s="162"/>
      <c r="I143" s="162"/>
      <c r="J143" s="169"/>
      <c r="K143" s="162"/>
      <c r="L143" s="169"/>
      <c r="M143" s="162"/>
      <c r="N143" s="67"/>
      <c r="O143" s="142"/>
    </row>
    <row r="144" spans="1:15" s="86" customFormat="1" ht="15">
      <c r="A144" s="24"/>
      <c r="B144" s="90"/>
      <c r="C144" s="15"/>
      <c r="D144" s="117"/>
      <c r="E144" s="24"/>
      <c r="F144" s="162"/>
      <c r="G144" s="162"/>
      <c r="H144" s="162"/>
      <c r="I144" s="162"/>
      <c r="J144" s="169"/>
      <c r="K144" s="170"/>
      <c r="L144" s="169"/>
      <c r="M144" s="162"/>
      <c r="N144" s="67"/>
      <c r="O144" s="142"/>
    </row>
    <row r="145" spans="1:15" s="163" customFormat="1" ht="18" customHeight="1">
      <c r="A145" s="118"/>
      <c r="B145" s="212"/>
      <c r="D145" s="118"/>
      <c r="E145" s="119"/>
      <c r="H145" s="678"/>
      <c r="I145" s="678"/>
      <c r="J145" s="678"/>
      <c r="N145" s="27"/>
      <c r="O145" s="176"/>
    </row>
    <row r="146" spans="1:17" s="320" customFormat="1" ht="15.75">
      <c r="A146" s="267"/>
      <c r="B146" s="340"/>
      <c r="C146" s="315"/>
      <c r="D146" s="315"/>
      <c r="E146" s="324"/>
      <c r="F146" s="268"/>
      <c r="G146" s="268"/>
      <c r="H146" s="513"/>
      <c r="I146" s="513"/>
      <c r="J146" s="523"/>
      <c r="K146" s="513"/>
      <c r="L146" s="523"/>
      <c r="M146" s="513"/>
      <c r="N146" s="524"/>
      <c r="O146" s="319"/>
      <c r="P146" s="319"/>
      <c r="Q146" s="319"/>
    </row>
    <row r="147" spans="1:17" s="320" customFormat="1" ht="15.75">
      <c r="A147" s="267"/>
      <c r="B147" s="340"/>
      <c r="C147" s="315"/>
      <c r="D147" s="315"/>
      <c r="E147" s="324"/>
      <c r="F147" s="268"/>
      <c r="G147" s="268"/>
      <c r="H147" s="513"/>
      <c r="I147" s="513"/>
      <c r="J147" s="523"/>
      <c r="K147" s="513"/>
      <c r="L147" s="523"/>
      <c r="M147" s="513"/>
      <c r="N147" s="524"/>
      <c r="O147" s="319"/>
      <c r="P147" s="319"/>
      <c r="Q147" s="319"/>
    </row>
    <row r="148" spans="1:17" s="320" customFormat="1" ht="15.75">
      <c r="A148" s="267"/>
      <c r="B148" s="340"/>
      <c r="C148" s="315"/>
      <c r="D148" s="315"/>
      <c r="E148" s="324"/>
      <c r="F148" s="268"/>
      <c r="G148" s="268"/>
      <c r="H148" s="513"/>
      <c r="I148" s="513"/>
      <c r="J148" s="523"/>
      <c r="K148" s="513"/>
      <c r="L148" s="523"/>
      <c r="M148" s="513"/>
      <c r="N148" s="524"/>
      <c r="O148" s="319"/>
      <c r="P148" s="319"/>
      <c r="Q148" s="319"/>
    </row>
    <row r="149" spans="1:17" s="320" customFormat="1" ht="15.75">
      <c r="A149" s="267"/>
      <c r="B149" s="340"/>
      <c r="C149" s="315"/>
      <c r="D149" s="315"/>
      <c r="E149" s="324"/>
      <c r="F149" s="268"/>
      <c r="G149" s="268"/>
      <c r="H149" s="513"/>
      <c r="I149" s="513"/>
      <c r="J149" s="523"/>
      <c r="K149" s="513"/>
      <c r="L149" s="523"/>
      <c r="M149" s="513"/>
      <c r="N149" s="524"/>
      <c r="O149" s="319"/>
      <c r="P149" s="319"/>
      <c r="Q149" s="319"/>
    </row>
    <row r="150" spans="1:17" s="320" customFormat="1" ht="15.75">
      <c r="A150" s="267"/>
      <c r="B150" s="340"/>
      <c r="C150" s="315"/>
      <c r="D150" s="315"/>
      <c r="E150" s="324"/>
      <c r="F150" s="268"/>
      <c r="G150" s="268"/>
      <c r="H150" s="513"/>
      <c r="I150" s="513"/>
      <c r="J150" s="523"/>
      <c r="K150" s="513"/>
      <c r="L150" s="523"/>
      <c r="M150" s="513"/>
      <c r="N150" s="524"/>
      <c r="O150" s="319"/>
      <c r="P150" s="319"/>
      <c r="Q150" s="319"/>
    </row>
    <row r="151" spans="1:17" s="320" customFormat="1" ht="15.75">
      <c r="A151" s="267"/>
      <c r="B151" s="340"/>
      <c r="C151" s="315"/>
      <c r="D151" s="315"/>
      <c r="E151" s="324"/>
      <c r="F151" s="268"/>
      <c r="G151" s="268"/>
      <c r="H151" s="513"/>
      <c r="I151" s="513"/>
      <c r="J151" s="523"/>
      <c r="K151" s="513"/>
      <c r="L151" s="523"/>
      <c r="M151" s="513"/>
      <c r="N151" s="524"/>
      <c r="O151" s="319"/>
      <c r="P151" s="319"/>
      <c r="Q151" s="319"/>
    </row>
    <row r="152" spans="1:17" s="320" customFormat="1" ht="15.75">
      <c r="A152" s="267"/>
      <c r="B152" s="340"/>
      <c r="C152" s="315"/>
      <c r="D152" s="315"/>
      <c r="E152" s="324"/>
      <c r="F152" s="268"/>
      <c r="G152" s="268"/>
      <c r="H152" s="513"/>
      <c r="I152" s="513"/>
      <c r="J152" s="523"/>
      <c r="K152" s="513"/>
      <c r="L152" s="523"/>
      <c r="M152" s="513"/>
      <c r="N152" s="524"/>
      <c r="O152" s="319"/>
      <c r="P152" s="319"/>
      <c r="Q152" s="319"/>
    </row>
    <row r="153" spans="1:17" s="320" customFormat="1" ht="15.75">
      <c r="A153" s="267"/>
      <c r="B153" s="340"/>
      <c r="C153" s="315"/>
      <c r="D153" s="315"/>
      <c r="E153" s="324"/>
      <c r="F153" s="268"/>
      <c r="G153" s="268"/>
      <c r="H153" s="513"/>
      <c r="I153" s="513"/>
      <c r="J153" s="523"/>
      <c r="K153" s="513"/>
      <c r="L153" s="523"/>
      <c r="M153" s="513"/>
      <c r="N153" s="524"/>
      <c r="O153" s="319"/>
      <c r="P153" s="319"/>
      <c r="Q153" s="319"/>
    </row>
    <row r="154" spans="1:17" s="320" customFormat="1" ht="15.75">
      <c r="A154" s="267"/>
      <c r="B154" s="340"/>
      <c r="C154" s="315"/>
      <c r="D154" s="315"/>
      <c r="E154" s="324"/>
      <c r="F154" s="268"/>
      <c r="G154" s="268"/>
      <c r="H154" s="513"/>
      <c r="I154" s="513"/>
      <c r="J154" s="523"/>
      <c r="K154" s="513"/>
      <c r="L154" s="523"/>
      <c r="M154" s="513"/>
      <c r="N154" s="524"/>
      <c r="O154" s="319"/>
      <c r="P154" s="319"/>
      <c r="Q154" s="319"/>
    </row>
    <row r="155" spans="1:17" s="320" customFormat="1" ht="15.75">
      <c r="A155" s="267"/>
      <c r="B155" s="340"/>
      <c r="C155" s="315"/>
      <c r="D155" s="315"/>
      <c r="E155" s="324"/>
      <c r="F155" s="268"/>
      <c r="G155" s="268"/>
      <c r="H155" s="513"/>
      <c r="I155" s="513"/>
      <c r="J155" s="523"/>
      <c r="K155" s="513"/>
      <c r="L155" s="523"/>
      <c r="M155" s="513"/>
      <c r="N155" s="524"/>
      <c r="O155" s="319"/>
      <c r="P155" s="319"/>
      <c r="Q155" s="319"/>
    </row>
    <row r="156" spans="1:17" s="320" customFormat="1" ht="15.75">
      <c r="A156" s="267"/>
      <c r="B156" s="340"/>
      <c r="C156" s="315"/>
      <c r="D156" s="315"/>
      <c r="E156" s="324"/>
      <c r="F156" s="268"/>
      <c r="G156" s="268"/>
      <c r="H156" s="513"/>
      <c r="I156" s="513"/>
      <c r="J156" s="523"/>
      <c r="K156" s="513"/>
      <c r="L156" s="523"/>
      <c r="M156" s="513"/>
      <c r="N156" s="524"/>
      <c r="O156" s="319"/>
      <c r="P156" s="319"/>
      <c r="Q156" s="319"/>
    </row>
    <row r="157" spans="1:17" s="320" customFormat="1" ht="15.75">
      <c r="A157" s="267"/>
      <c r="B157" s="340"/>
      <c r="C157" s="315"/>
      <c r="D157" s="315"/>
      <c r="E157" s="324"/>
      <c r="F157" s="268"/>
      <c r="G157" s="268"/>
      <c r="H157" s="513"/>
      <c r="I157" s="513"/>
      <c r="J157" s="523"/>
      <c r="K157" s="513"/>
      <c r="L157" s="523"/>
      <c r="M157" s="513"/>
      <c r="N157" s="524"/>
      <c r="O157" s="319"/>
      <c r="P157" s="319"/>
      <c r="Q157" s="319"/>
    </row>
    <row r="158" spans="1:17" s="320" customFormat="1" ht="15.75">
      <c r="A158" s="267"/>
      <c r="B158" s="340"/>
      <c r="C158" s="315"/>
      <c r="D158" s="315"/>
      <c r="E158" s="324"/>
      <c r="F158" s="268"/>
      <c r="G158" s="268"/>
      <c r="H158" s="513"/>
      <c r="I158" s="513"/>
      <c r="J158" s="523"/>
      <c r="K158" s="513"/>
      <c r="L158" s="523"/>
      <c r="M158" s="513"/>
      <c r="N158" s="524"/>
      <c r="O158" s="319"/>
      <c r="P158" s="319"/>
      <c r="Q158" s="319"/>
    </row>
    <row r="159" spans="1:17" s="320" customFormat="1" ht="15.75">
      <c r="A159" s="267"/>
      <c r="B159" s="340"/>
      <c r="C159" s="315"/>
      <c r="D159" s="315"/>
      <c r="E159" s="324"/>
      <c r="F159" s="268"/>
      <c r="G159" s="268"/>
      <c r="H159" s="513"/>
      <c r="I159" s="513"/>
      <c r="J159" s="523"/>
      <c r="K159" s="513"/>
      <c r="L159" s="523"/>
      <c r="M159" s="513"/>
      <c r="N159" s="524"/>
      <c r="O159" s="319"/>
      <c r="P159" s="319"/>
      <c r="Q159" s="319"/>
    </row>
    <row r="160" spans="1:17" s="320" customFormat="1" ht="15.75">
      <c r="A160" s="267"/>
      <c r="B160" s="340"/>
      <c r="C160" s="315"/>
      <c r="D160" s="315"/>
      <c r="E160" s="324"/>
      <c r="F160" s="268"/>
      <c r="G160" s="268"/>
      <c r="H160" s="513"/>
      <c r="I160" s="513"/>
      <c r="J160" s="523"/>
      <c r="K160" s="513"/>
      <c r="L160" s="523"/>
      <c r="M160" s="513"/>
      <c r="N160" s="524"/>
      <c r="O160" s="319"/>
      <c r="P160" s="319"/>
      <c r="Q160" s="319"/>
    </row>
    <row r="161" spans="1:17" s="320" customFormat="1" ht="15.75">
      <c r="A161" s="267"/>
      <c r="B161" s="340"/>
      <c r="C161" s="315"/>
      <c r="D161" s="315"/>
      <c r="E161" s="324"/>
      <c r="F161" s="268"/>
      <c r="G161" s="268"/>
      <c r="H161" s="513"/>
      <c r="I161" s="513"/>
      <c r="J161" s="523"/>
      <c r="K161" s="513"/>
      <c r="L161" s="523"/>
      <c r="M161" s="513"/>
      <c r="N161" s="524"/>
      <c r="O161" s="319"/>
      <c r="P161" s="319"/>
      <c r="Q161" s="319"/>
    </row>
    <row r="162" spans="1:17" s="320" customFormat="1" ht="15.75">
      <c r="A162" s="267"/>
      <c r="B162" s="340"/>
      <c r="C162" s="315"/>
      <c r="D162" s="315"/>
      <c r="E162" s="324"/>
      <c r="F162" s="268"/>
      <c r="G162" s="268"/>
      <c r="H162" s="513"/>
      <c r="I162" s="513"/>
      <c r="J162" s="523"/>
      <c r="K162" s="513"/>
      <c r="L162" s="523"/>
      <c r="M162" s="513"/>
      <c r="N162" s="524"/>
      <c r="O162" s="319"/>
      <c r="P162" s="319"/>
      <c r="Q162" s="319"/>
    </row>
    <row r="163" spans="1:17" s="320" customFormat="1" ht="15.75">
      <c r="A163" s="267"/>
      <c r="B163" s="340"/>
      <c r="C163" s="315"/>
      <c r="D163" s="315"/>
      <c r="E163" s="324"/>
      <c r="F163" s="268"/>
      <c r="G163" s="268"/>
      <c r="H163" s="513"/>
      <c r="I163" s="513"/>
      <c r="J163" s="523"/>
      <c r="K163" s="513"/>
      <c r="L163" s="523"/>
      <c r="M163" s="513"/>
      <c r="N163" s="524"/>
      <c r="O163" s="319"/>
      <c r="P163" s="319"/>
      <c r="Q163" s="319"/>
    </row>
    <row r="164" spans="1:17" s="320" customFormat="1" ht="15.75">
      <c r="A164" s="267"/>
      <c r="B164" s="340"/>
      <c r="C164" s="315"/>
      <c r="D164" s="315"/>
      <c r="E164" s="324"/>
      <c r="F164" s="268"/>
      <c r="G164" s="268"/>
      <c r="H164" s="513"/>
      <c r="I164" s="513"/>
      <c r="J164" s="523"/>
      <c r="K164" s="513"/>
      <c r="L164" s="523"/>
      <c r="M164" s="513"/>
      <c r="N164" s="524"/>
      <c r="O164" s="319"/>
      <c r="P164" s="319"/>
      <c r="Q164" s="319"/>
    </row>
    <row r="165" spans="1:17" s="320" customFormat="1" ht="15.75">
      <c r="A165" s="267"/>
      <c r="B165" s="340"/>
      <c r="C165" s="315"/>
      <c r="D165" s="315"/>
      <c r="E165" s="324"/>
      <c r="F165" s="268"/>
      <c r="G165" s="268"/>
      <c r="H165" s="513"/>
      <c r="I165" s="513"/>
      <c r="J165" s="523"/>
      <c r="K165" s="513"/>
      <c r="L165" s="523"/>
      <c r="M165" s="513"/>
      <c r="N165" s="524"/>
      <c r="O165" s="319"/>
      <c r="P165" s="319"/>
      <c r="Q165" s="319"/>
    </row>
    <row r="166" spans="1:17" s="320" customFormat="1" ht="15.75">
      <c r="A166" s="267"/>
      <c r="B166" s="340"/>
      <c r="C166" s="315"/>
      <c r="D166" s="315"/>
      <c r="E166" s="324"/>
      <c r="F166" s="268"/>
      <c r="G166" s="268"/>
      <c r="H166" s="513"/>
      <c r="I166" s="513"/>
      <c r="J166" s="523"/>
      <c r="K166" s="513"/>
      <c r="L166" s="523"/>
      <c r="M166" s="513"/>
      <c r="N166" s="524"/>
      <c r="O166" s="319"/>
      <c r="P166" s="319"/>
      <c r="Q166" s="319"/>
    </row>
    <row r="167" spans="1:17" s="320" customFormat="1" ht="15.75">
      <c r="A167" s="267"/>
      <c r="B167" s="340"/>
      <c r="C167" s="315"/>
      <c r="D167" s="315"/>
      <c r="E167" s="324"/>
      <c r="F167" s="268"/>
      <c r="G167" s="268"/>
      <c r="H167" s="513"/>
      <c r="I167" s="513"/>
      <c r="J167" s="523"/>
      <c r="K167" s="513"/>
      <c r="L167" s="523"/>
      <c r="M167" s="513"/>
      <c r="N167" s="524"/>
      <c r="O167" s="319"/>
      <c r="P167" s="319"/>
      <c r="Q167" s="319"/>
    </row>
    <row r="168" spans="1:17" s="320" customFormat="1" ht="15.75">
      <c r="A168" s="267"/>
      <c r="B168" s="340"/>
      <c r="C168" s="315"/>
      <c r="D168" s="315"/>
      <c r="E168" s="324"/>
      <c r="F168" s="268"/>
      <c r="G168" s="268"/>
      <c r="H168" s="513"/>
      <c r="I168" s="513"/>
      <c r="J168" s="523"/>
      <c r="K168" s="513"/>
      <c r="L168" s="523"/>
      <c r="M168" s="513"/>
      <c r="N168" s="524"/>
      <c r="O168" s="319"/>
      <c r="P168" s="319"/>
      <c r="Q168" s="319"/>
    </row>
    <row r="169" spans="1:17" s="320" customFormat="1" ht="15.75">
      <c r="A169" s="267"/>
      <c r="B169" s="340"/>
      <c r="C169" s="315"/>
      <c r="D169" s="315"/>
      <c r="E169" s="324"/>
      <c r="F169" s="268"/>
      <c r="G169" s="268"/>
      <c r="H169" s="513"/>
      <c r="I169" s="513"/>
      <c r="J169" s="523"/>
      <c r="K169" s="513"/>
      <c r="L169" s="523"/>
      <c r="M169" s="513"/>
      <c r="N169" s="524"/>
      <c r="O169" s="319"/>
      <c r="P169" s="319"/>
      <c r="Q169" s="319"/>
    </row>
    <row r="170" spans="1:17" s="320" customFormat="1" ht="15.75">
      <c r="A170" s="267"/>
      <c r="B170" s="340"/>
      <c r="C170" s="315"/>
      <c r="D170" s="315"/>
      <c r="E170" s="324"/>
      <c r="F170" s="268"/>
      <c r="G170" s="268"/>
      <c r="H170" s="513"/>
      <c r="I170" s="513"/>
      <c r="J170" s="523"/>
      <c r="K170" s="513"/>
      <c r="L170" s="523"/>
      <c r="M170" s="513"/>
      <c r="N170" s="524"/>
      <c r="O170" s="319"/>
      <c r="P170" s="319"/>
      <c r="Q170" s="319"/>
    </row>
    <row r="171" spans="1:17" s="320" customFormat="1" ht="15.75">
      <c r="A171" s="267"/>
      <c r="B171" s="340"/>
      <c r="C171" s="315"/>
      <c r="D171" s="315"/>
      <c r="E171" s="324"/>
      <c r="F171" s="268"/>
      <c r="G171" s="268"/>
      <c r="H171" s="513"/>
      <c r="I171" s="513"/>
      <c r="J171" s="523"/>
      <c r="K171" s="513"/>
      <c r="L171" s="523"/>
      <c r="M171" s="513"/>
      <c r="N171" s="524"/>
      <c r="O171" s="319"/>
      <c r="P171" s="319"/>
      <c r="Q171" s="319"/>
    </row>
    <row r="172" spans="1:17" s="320" customFormat="1" ht="15.75">
      <c r="A172" s="267"/>
      <c r="B172" s="340"/>
      <c r="C172" s="315"/>
      <c r="D172" s="315"/>
      <c r="E172" s="324"/>
      <c r="F172" s="268"/>
      <c r="G172" s="268"/>
      <c r="H172" s="513"/>
      <c r="I172" s="513"/>
      <c r="J172" s="523"/>
      <c r="K172" s="513"/>
      <c r="L172" s="523"/>
      <c r="M172" s="513"/>
      <c r="N172" s="524"/>
      <c r="O172" s="319"/>
      <c r="P172" s="319"/>
      <c r="Q172" s="319"/>
    </row>
    <row r="173" spans="1:17" s="320" customFormat="1" ht="15.75">
      <c r="A173" s="267"/>
      <c r="B173" s="340"/>
      <c r="C173" s="315"/>
      <c r="D173" s="315"/>
      <c r="E173" s="324"/>
      <c r="F173" s="268"/>
      <c r="G173" s="268"/>
      <c r="H173" s="513"/>
      <c r="I173" s="513"/>
      <c r="J173" s="523"/>
      <c r="K173" s="513"/>
      <c r="L173" s="523"/>
      <c r="M173" s="513"/>
      <c r="N173" s="524"/>
      <c r="O173" s="319"/>
      <c r="P173" s="319"/>
      <c r="Q173" s="319"/>
    </row>
    <row r="174" spans="1:17" s="320" customFormat="1" ht="15.75">
      <c r="A174" s="267"/>
      <c r="B174" s="340"/>
      <c r="C174" s="315"/>
      <c r="D174" s="315"/>
      <c r="E174" s="324"/>
      <c r="F174" s="268"/>
      <c r="G174" s="268"/>
      <c r="H174" s="513"/>
      <c r="I174" s="513"/>
      <c r="J174" s="523"/>
      <c r="K174" s="513"/>
      <c r="L174" s="523"/>
      <c r="M174" s="513"/>
      <c r="N174" s="524"/>
      <c r="O174" s="319"/>
      <c r="P174" s="319"/>
      <c r="Q174" s="319"/>
    </row>
    <row r="175" spans="1:17" s="320" customFormat="1" ht="15.75">
      <c r="A175" s="267"/>
      <c r="B175" s="340"/>
      <c r="C175" s="315"/>
      <c r="D175" s="315"/>
      <c r="E175" s="324"/>
      <c r="F175" s="268"/>
      <c r="G175" s="268"/>
      <c r="H175" s="513"/>
      <c r="I175" s="513"/>
      <c r="J175" s="523"/>
      <c r="K175" s="513"/>
      <c r="L175" s="523"/>
      <c r="M175" s="513"/>
      <c r="N175" s="524"/>
      <c r="O175" s="319"/>
      <c r="P175" s="319"/>
      <c r="Q175" s="319"/>
    </row>
    <row r="176" spans="1:17" s="320" customFormat="1" ht="15.75">
      <c r="A176" s="267"/>
      <c r="B176" s="340"/>
      <c r="C176" s="315"/>
      <c r="D176" s="315"/>
      <c r="E176" s="324"/>
      <c r="F176" s="268"/>
      <c r="G176" s="268"/>
      <c r="H176" s="513"/>
      <c r="I176" s="513"/>
      <c r="J176" s="523"/>
      <c r="K176" s="513"/>
      <c r="L176" s="523"/>
      <c r="M176" s="513"/>
      <c r="N176" s="524"/>
      <c r="O176" s="319"/>
      <c r="P176" s="319"/>
      <c r="Q176" s="319"/>
    </row>
    <row r="177" spans="1:17" s="320" customFormat="1" ht="15.75">
      <c r="A177" s="267"/>
      <c r="B177" s="340"/>
      <c r="C177" s="315"/>
      <c r="D177" s="315"/>
      <c r="E177" s="324"/>
      <c r="F177" s="268"/>
      <c r="G177" s="268"/>
      <c r="H177" s="513"/>
      <c r="I177" s="513"/>
      <c r="J177" s="523"/>
      <c r="K177" s="513"/>
      <c r="L177" s="523"/>
      <c r="M177" s="513"/>
      <c r="N177" s="524"/>
      <c r="O177" s="319"/>
      <c r="P177" s="319"/>
      <c r="Q177" s="319"/>
    </row>
    <row r="178" spans="1:17" s="320" customFormat="1" ht="15.75">
      <c r="A178" s="267"/>
      <c r="B178" s="340"/>
      <c r="C178" s="315"/>
      <c r="D178" s="315"/>
      <c r="E178" s="324"/>
      <c r="F178" s="268"/>
      <c r="G178" s="268"/>
      <c r="H178" s="513"/>
      <c r="I178" s="513"/>
      <c r="J178" s="523"/>
      <c r="K178" s="513"/>
      <c r="L178" s="523"/>
      <c r="M178" s="513"/>
      <c r="N178" s="524"/>
      <c r="O178" s="319"/>
      <c r="P178" s="319"/>
      <c r="Q178" s="319"/>
    </row>
    <row r="179" spans="1:17" s="320" customFormat="1" ht="15.75">
      <c r="A179" s="267"/>
      <c r="B179" s="340"/>
      <c r="C179" s="315"/>
      <c r="D179" s="315"/>
      <c r="E179" s="324"/>
      <c r="F179" s="268"/>
      <c r="G179" s="268"/>
      <c r="H179" s="513"/>
      <c r="I179" s="513"/>
      <c r="J179" s="523"/>
      <c r="K179" s="513"/>
      <c r="L179" s="523"/>
      <c r="M179" s="513"/>
      <c r="N179" s="524"/>
      <c r="O179" s="319"/>
      <c r="P179" s="319"/>
      <c r="Q179" s="319"/>
    </row>
    <row r="180" spans="1:17" s="320" customFormat="1" ht="15.75">
      <c r="A180" s="267"/>
      <c r="B180" s="340"/>
      <c r="C180" s="315"/>
      <c r="D180" s="315"/>
      <c r="E180" s="324"/>
      <c r="F180" s="268"/>
      <c r="G180" s="268"/>
      <c r="H180" s="513"/>
      <c r="I180" s="513"/>
      <c r="J180" s="523"/>
      <c r="K180" s="513"/>
      <c r="L180" s="523"/>
      <c r="M180" s="513"/>
      <c r="N180" s="524"/>
      <c r="O180" s="319"/>
      <c r="P180" s="319"/>
      <c r="Q180" s="319"/>
    </row>
    <row r="181" spans="1:17" s="320" customFormat="1" ht="15.75">
      <c r="A181" s="267"/>
      <c r="B181" s="340"/>
      <c r="C181" s="315"/>
      <c r="D181" s="315"/>
      <c r="E181" s="324"/>
      <c r="F181" s="268"/>
      <c r="G181" s="268"/>
      <c r="H181" s="513"/>
      <c r="I181" s="513"/>
      <c r="J181" s="523"/>
      <c r="K181" s="513"/>
      <c r="L181" s="523"/>
      <c r="M181" s="513"/>
      <c r="N181" s="524"/>
      <c r="O181" s="319"/>
      <c r="P181" s="319"/>
      <c r="Q181" s="319"/>
    </row>
    <row r="182" spans="1:17" s="320" customFormat="1" ht="15.75">
      <c r="A182" s="267"/>
      <c r="B182" s="340"/>
      <c r="C182" s="315"/>
      <c r="D182" s="315"/>
      <c r="E182" s="324"/>
      <c r="F182" s="268"/>
      <c r="G182" s="268"/>
      <c r="H182" s="513"/>
      <c r="I182" s="513"/>
      <c r="J182" s="523"/>
      <c r="K182" s="513"/>
      <c r="L182" s="523"/>
      <c r="M182" s="513"/>
      <c r="N182" s="524"/>
      <c r="O182" s="319"/>
      <c r="P182" s="319"/>
      <c r="Q182" s="319"/>
    </row>
    <row r="183" spans="1:17" s="320" customFormat="1" ht="15.75">
      <c r="A183" s="267"/>
      <c r="B183" s="340"/>
      <c r="C183" s="315"/>
      <c r="D183" s="315"/>
      <c r="E183" s="324"/>
      <c r="F183" s="268"/>
      <c r="G183" s="268"/>
      <c r="H183" s="513"/>
      <c r="I183" s="513"/>
      <c r="J183" s="523"/>
      <c r="K183" s="513"/>
      <c r="L183" s="523"/>
      <c r="M183" s="513"/>
      <c r="N183" s="524"/>
      <c r="O183" s="319"/>
      <c r="P183" s="319"/>
      <c r="Q183" s="319"/>
    </row>
    <row r="184" spans="1:17" s="320" customFormat="1" ht="15.75">
      <c r="A184" s="267"/>
      <c r="B184" s="340"/>
      <c r="C184" s="315"/>
      <c r="D184" s="315"/>
      <c r="E184" s="324"/>
      <c r="F184" s="268"/>
      <c r="G184" s="268"/>
      <c r="H184" s="513"/>
      <c r="I184" s="513"/>
      <c r="J184" s="523"/>
      <c r="K184" s="513"/>
      <c r="L184" s="523"/>
      <c r="M184" s="513"/>
      <c r="N184" s="524"/>
      <c r="O184" s="319"/>
      <c r="P184" s="319"/>
      <c r="Q184" s="319"/>
    </row>
    <row r="185" spans="1:17" s="320" customFormat="1" ht="15.75">
      <c r="A185" s="267"/>
      <c r="B185" s="340"/>
      <c r="C185" s="315"/>
      <c r="D185" s="315"/>
      <c r="E185" s="324"/>
      <c r="F185" s="268"/>
      <c r="G185" s="268"/>
      <c r="H185" s="513"/>
      <c r="I185" s="513"/>
      <c r="J185" s="523"/>
      <c r="K185" s="513"/>
      <c r="L185" s="523"/>
      <c r="M185" s="513"/>
      <c r="N185" s="524"/>
      <c r="O185" s="319"/>
      <c r="P185" s="319"/>
      <c r="Q185" s="319"/>
    </row>
    <row r="186" spans="1:17" s="320" customFormat="1" ht="15.75">
      <c r="A186" s="267"/>
      <c r="B186" s="340"/>
      <c r="C186" s="315"/>
      <c r="D186" s="315"/>
      <c r="E186" s="324"/>
      <c r="F186" s="268"/>
      <c r="G186" s="268"/>
      <c r="H186" s="513"/>
      <c r="I186" s="513"/>
      <c r="J186" s="523"/>
      <c r="K186" s="513"/>
      <c r="L186" s="523"/>
      <c r="M186" s="513"/>
      <c r="N186" s="524"/>
      <c r="O186" s="319"/>
      <c r="P186" s="319"/>
      <c r="Q186" s="319"/>
    </row>
    <row r="187" spans="1:17" s="320" customFormat="1" ht="15.75">
      <c r="A187" s="267"/>
      <c r="B187" s="340"/>
      <c r="C187" s="315"/>
      <c r="D187" s="315"/>
      <c r="E187" s="324"/>
      <c r="F187" s="268"/>
      <c r="G187" s="268"/>
      <c r="H187" s="513"/>
      <c r="I187" s="513"/>
      <c r="J187" s="523"/>
      <c r="K187" s="513"/>
      <c r="L187" s="523"/>
      <c r="M187" s="513"/>
      <c r="N187" s="524"/>
      <c r="O187" s="319"/>
      <c r="P187" s="319"/>
      <c r="Q187" s="319"/>
    </row>
    <row r="188" spans="1:17" s="320" customFormat="1" ht="15.75">
      <c r="A188" s="267"/>
      <c r="B188" s="340"/>
      <c r="C188" s="315"/>
      <c r="D188" s="315"/>
      <c r="E188" s="324"/>
      <c r="F188" s="268"/>
      <c r="G188" s="268"/>
      <c r="H188" s="513"/>
      <c r="I188" s="513"/>
      <c r="J188" s="523"/>
      <c r="K188" s="513"/>
      <c r="L188" s="523"/>
      <c r="M188" s="513"/>
      <c r="N188" s="524"/>
      <c r="O188" s="319"/>
      <c r="P188" s="319"/>
      <c r="Q188" s="319"/>
    </row>
    <row r="189" spans="1:17" s="320" customFormat="1" ht="15.75">
      <c r="A189" s="267"/>
      <c r="B189" s="340"/>
      <c r="C189" s="315"/>
      <c r="D189" s="315"/>
      <c r="E189" s="324"/>
      <c r="F189" s="268"/>
      <c r="G189" s="268"/>
      <c r="H189" s="513"/>
      <c r="I189" s="513"/>
      <c r="J189" s="523"/>
      <c r="K189" s="513"/>
      <c r="L189" s="523"/>
      <c r="M189" s="513"/>
      <c r="N189" s="524"/>
      <c r="O189" s="319"/>
      <c r="P189" s="319"/>
      <c r="Q189" s="319"/>
    </row>
    <row r="190" spans="1:17" s="320" customFormat="1" ht="15.75">
      <c r="A190" s="267"/>
      <c r="B190" s="340"/>
      <c r="C190" s="315"/>
      <c r="D190" s="315"/>
      <c r="E190" s="324"/>
      <c r="F190" s="268"/>
      <c r="G190" s="268"/>
      <c r="H190" s="513"/>
      <c r="I190" s="513"/>
      <c r="J190" s="523"/>
      <c r="K190" s="513"/>
      <c r="L190" s="523"/>
      <c r="M190" s="513"/>
      <c r="N190" s="524"/>
      <c r="O190" s="319"/>
      <c r="P190" s="319"/>
      <c r="Q190" s="319"/>
    </row>
    <row r="191" spans="1:17" s="320" customFormat="1" ht="15.75">
      <c r="A191" s="267"/>
      <c r="B191" s="340"/>
      <c r="C191" s="315"/>
      <c r="D191" s="315"/>
      <c r="E191" s="324"/>
      <c r="F191" s="268"/>
      <c r="G191" s="268"/>
      <c r="H191" s="513"/>
      <c r="I191" s="513"/>
      <c r="J191" s="523"/>
      <c r="K191" s="513"/>
      <c r="L191" s="523"/>
      <c r="M191" s="513"/>
      <c r="N191" s="524"/>
      <c r="O191" s="319"/>
      <c r="P191" s="319"/>
      <c r="Q191" s="319"/>
    </row>
    <row r="192" spans="1:17" s="320" customFormat="1" ht="15.75">
      <c r="A192" s="267"/>
      <c r="B192" s="340"/>
      <c r="C192" s="315"/>
      <c r="D192" s="315"/>
      <c r="E192" s="324"/>
      <c r="F192" s="268"/>
      <c r="G192" s="268"/>
      <c r="H192" s="513"/>
      <c r="I192" s="513"/>
      <c r="J192" s="523"/>
      <c r="K192" s="513"/>
      <c r="L192" s="523"/>
      <c r="M192" s="513"/>
      <c r="N192" s="524"/>
      <c r="O192" s="319"/>
      <c r="P192" s="319"/>
      <c r="Q192" s="319"/>
    </row>
    <row r="193" spans="1:17" s="320" customFormat="1" ht="15.75">
      <c r="A193" s="267"/>
      <c r="B193" s="340"/>
      <c r="C193" s="315"/>
      <c r="D193" s="315"/>
      <c r="E193" s="324"/>
      <c r="F193" s="268"/>
      <c r="G193" s="268"/>
      <c r="H193" s="513"/>
      <c r="I193" s="513"/>
      <c r="J193" s="523"/>
      <c r="K193" s="513"/>
      <c r="L193" s="523"/>
      <c r="M193" s="513"/>
      <c r="N193" s="524"/>
      <c r="O193" s="319"/>
      <c r="P193" s="319"/>
      <c r="Q193" s="319"/>
    </row>
    <row r="194" spans="1:17" s="320" customFormat="1" ht="15.75">
      <c r="A194" s="267"/>
      <c r="B194" s="340"/>
      <c r="C194" s="315"/>
      <c r="D194" s="315"/>
      <c r="E194" s="324"/>
      <c r="F194" s="268"/>
      <c r="G194" s="268"/>
      <c r="H194" s="513"/>
      <c r="I194" s="513"/>
      <c r="J194" s="523"/>
      <c r="K194" s="513"/>
      <c r="L194" s="523"/>
      <c r="M194" s="513"/>
      <c r="N194" s="524"/>
      <c r="O194" s="319"/>
      <c r="P194" s="319"/>
      <c r="Q194" s="319"/>
    </row>
    <row r="195" spans="1:17" s="320" customFormat="1" ht="15.75">
      <c r="A195" s="267"/>
      <c r="B195" s="340"/>
      <c r="C195" s="315"/>
      <c r="D195" s="315"/>
      <c r="E195" s="324"/>
      <c r="F195" s="268"/>
      <c r="G195" s="268"/>
      <c r="H195" s="513"/>
      <c r="I195" s="513"/>
      <c r="J195" s="523"/>
      <c r="K195" s="513"/>
      <c r="L195" s="523"/>
      <c r="M195" s="513"/>
      <c r="N195" s="524"/>
      <c r="O195" s="319"/>
      <c r="P195" s="319"/>
      <c r="Q195" s="319"/>
    </row>
    <row r="196" spans="1:17" s="320" customFormat="1" ht="15.75">
      <c r="A196" s="267"/>
      <c r="B196" s="340"/>
      <c r="C196" s="315"/>
      <c r="D196" s="315"/>
      <c r="E196" s="324"/>
      <c r="F196" s="268"/>
      <c r="G196" s="268"/>
      <c r="H196" s="513"/>
      <c r="I196" s="513"/>
      <c r="J196" s="523"/>
      <c r="K196" s="513"/>
      <c r="L196" s="523"/>
      <c r="M196" s="513"/>
      <c r="N196" s="524"/>
      <c r="O196" s="319"/>
      <c r="P196" s="319"/>
      <c r="Q196" s="319"/>
    </row>
    <row r="197" spans="1:17" s="320" customFormat="1" ht="15.75">
      <c r="A197" s="267"/>
      <c r="B197" s="340"/>
      <c r="C197" s="315"/>
      <c r="D197" s="315"/>
      <c r="E197" s="324"/>
      <c r="F197" s="268"/>
      <c r="G197" s="268"/>
      <c r="H197" s="513"/>
      <c r="I197" s="513"/>
      <c r="J197" s="523"/>
      <c r="K197" s="513"/>
      <c r="L197" s="523"/>
      <c r="M197" s="513"/>
      <c r="N197" s="524"/>
      <c r="O197" s="319"/>
      <c r="P197" s="319"/>
      <c r="Q197" s="319"/>
    </row>
    <row r="198" spans="1:17" s="320" customFormat="1" ht="15.75">
      <c r="A198" s="267"/>
      <c r="B198" s="340"/>
      <c r="C198" s="315"/>
      <c r="D198" s="315"/>
      <c r="E198" s="324"/>
      <c r="F198" s="268"/>
      <c r="G198" s="268"/>
      <c r="H198" s="513"/>
      <c r="I198" s="513"/>
      <c r="J198" s="523"/>
      <c r="K198" s="513"/>
      <c r="L198" s="523"/>
      <c r="M198" s="513"/>
      <c r="N198" s="524"/>
      <c r="O198" s="319"/>
      <c r="P198" s="319"/>
      <c r="Q198" s="319"/>
    </row>
    <row r="199" spans="1:17" s="320" customFormat="1" ht="15.75">
      <c r="A199" s="267"/>
      <c r="B199" s="340"/>
      <c r="C199" s="315"/>
      <c r="D199" s="315"/>
      <c r="E199" s="324"/>
      <c r="F199" s="268"/>
      <c r="G199" s="268"/>
      <c r="H199" s="513"/>
      <c r="I199" s="513"/>
      <c r="J199" s="523"/>
      <c r="K199" s="513"/>
      <c r="L199" s="523"/>
      <c r="M199" s="513"/>
      <c r="N199" s="524"/>
      <c r="O199" s="319"/>
      <c r="P199" s="319"/>
      <c r="Q199" s="319"/>
    </row>
    <row r="200" spans="1:17" s="320" customFormat="1" ht="15.75">
      <c r="A200" s="267"/>
      <c r="B200" s="340"/>
      <c r="C200" s="315"/>
      <c r="D200" s="315"/>
      <c r="E200" s="324"/>
      <c r="F200" s="268"/>
      <c r="G200" s="268"/>
      <c r="H200" s="513"/>
      <c r="I200" s="513"/>
      <c r="J200" s="523"/>
      <c r="K200" s="513"/>
      <c r="L200" s="523"/>
      <c r="M200" s="513"/>
      <c r="N200" s="524"/>
      <c r="O200" s="319"/>
      <c r="P200" s="319"/>
      <c r="Q200" s="319"/>
    </row>
    <row r="201" spans="1:17" s="320" customFormat="1" ht="15.75">
      <c r="A201" s="267"/>
      <c r="B201" s="340"/>
      <c r="C201" s="315"/>
      <c r="D201" s="315"/>
      <c r="E201" s="324"/>
      <c r="F201" s="268"/>
      <c r="G201" s="268"/>
      <c r="H201" s="513"/>
      <c r="I201" s="513"/>
      <c r="J201" s="523"/>
      <c r="K201" s="513"/>
      <c r="L201" s="523"/>
      <c r="M201" s="513"/>
      <c r="N201" s="524"/>
      <c r="O201" s="319"/>
      <c r="P201" s="319"/>
      <c r="Q201" s="319"/>
    </row>
    <row r="202" spans="1:17" s="320" customFormat="1" ht="15.75">
      <c r="A202" s="267"/>
      <c r="B202" s="340"/>
      <c r="C202" s="315"/>
      <c r="D202" s="315"/>
      <c r="E202" s="324"/>
      <c r="F202" s="268"/>
      <c r="G202" s="268"/>
      <c r="H202" s="513"/>
      <c r="I202" s="513"/>
      <c r="J202" s="523"/>
      <c r="K202" s="513"/>
      <c r="L202" s="523"/>
      <c r="M202" s="513"/>
      <c r="N202" s="524"/>
      <c r="O202" s="319"/>
      <c r="P202" s="319"/>
      <c r="Q202" s="319"/>
    </row>
    <row r="203" spans="1:17" s="320" customFormat="1" ht="15.75">
      <c r="A203" s="267"/>
      <c r="B203" s="340"/>
      <c r="C203" s="315"/>
      <c r="D203" s="315"/>
      <c r="E203" s="324"/>
      <c r="F203" s="268"/>
      <c r="G203" s="268"/>
      <c r="H203" s="513"/>
      <c r="I203" s="513"/>
      <c r="J203" s="523"/>
      <c r="K203" s="513"/>
      <c r="L203" s="523"/>
      <c r="M203" s="513"/>
      <c r="N203" s="524"/>
      <c r="O203" s="319"/>
      <c r="P203" s="319"/>
      <c r="Q203" s="319"/>
    </row>
    <row r="204" spans="1:17" s="320" customFormat="1" ht="15.75">
      <c r="A204" s="267"/>
      <c r="B204" s="340"/>
      <c r="C204" s="315"/>
      <c r="D204" s="315"/>
      <c r="E204" s="324"/>
      <c r="F204" s="268"/>
      <c r="G204" s="268"/>
      <c r="H204" s="513"/>
      <c r="I204" s="513"/>
      <c r="J204" s="523"/>
      <c r="K204" s="513"/>
      <c r="L204" s="523"/>
      <c r="M204" s="513"/>
      <c r="N204" s="524"/>
      <c r="O204" s="319"/>
      <c r="P204" s="319"/>
      <c r="Q204" s="319"/>
    </row>
    <row r="205" spans="1:17" s="320" customFormat="1" ht="15.75">
      <c r="A205" s="267"/>
      <c r="B205" s="340"/>
      <c r="C205" s="315"/>
      <c r="D205" s="315"/>
      <c r="E205" s="324"/>
      <c r="F205" s="268"/>
      <c r="G205" s="268"/>
      <c r="H205" s="513"/>
      <c r="I205" s="513"/>
      <c r="J205" s="523"/>
      <c r="K205" s="513"/>
      <c r="L205" s="523"/>
      <c r="M205" s="513"/>
      <c r="N205" s="524"/>
      <c r="O205" s="319"/>
      <c r="P205" s="319"/>
      <c r="Q205" s="319"/>
    </row>
    <row r="206" spans="1:17" s="320" customFormat="1" ht="15.75">
      <c r="A206" s="267"/>
      <c r="B206" s="340"/>
      <c r="C206" s="315"/>
      <c r="D206" s="315"/>
      <c r="E206" s="324"/>
      <c r="F206" s="268"/>
      <c r="G206" s="268"/>
      <c r="H206" s="513"/>
      <c r="I206" s="513"/>
      <c r="J206" s="523"/>
      <c r="K206" s="513"/>
      <c r="L206" s="523"/>
      <c r="M206" s="513"/>
      <c r="N206" s="524"/>
      <c r="O206" s="319"/>
      <c r="P206" s="319"/>
      <c r="Q206" s="319"/>
    </row>
    <row r="207" spans="1:17" s="320" customFormat="1" ht="15.75">
      <c r="A207" s="267"/>
      <c r="B207" s="340"/>
      <c r="C207" s="315"/>
      <c r="D207" s="315"/>
      <c r="E207" s="324"/>
      <c r="F207" s="268"/>
      <c r="G207" s="268"/>
      <c r="H207" s="513"/>
      <c r="I207" s="513"/>
      <c r="J207" s="523"/>
      <c r="K207" s="513"/>
      <c r="L207" s="523"/>
      <c r="M207" s="513"/>
      <c r="N207" s="524"/>
      <c r="O207" s="319"/>
      <c r="P207" s="319"/>
      <c r="Q207" s="319"/>
    </row>
    <row r="208" spans="1:17" s="320" customFormat="1" ht="15.75">
      <c r="A208" s="267"/>
      <c r="B208" s="340"/>
      <c r="C208" s="315"/>
      <c r="D208" s="315"/>
      <c r="E208" s="324"/>
      <c r="F208" s="268"/>
      <c r="G208" s="268"/>
      <c r="H208" s="513"/>
      <c r="I208" s="513"/>
      <c r="J208" s="523"/>
      <c r="K208" s="513"/>
      <c r="L208" s="523"/>
      <c r="M208" s="513"/>
      <c r="N208" s="524"/>
      <c r="O208" s="319"/>
      <c r="P208" s="319"/>
      <c r="Q208" s="319"/>
    </row>
    <row r="209" spans="1:17" s="320" customFormat="1" ht="15.75">
      <c r="A209" s="267"/>
      <c r="B209" s="340"/>
      <c r="C209" s="315"/>
      <c r="D209" s="315"/>
      <c r="E209" s="324"/>
      <c r="F209" s="268"/>
      <c r="G209" s="268"/>
      <c r="H209" s="513"/>
      <c r="I209" s="513"/>
      <c r="J209" s="523"/>
      <c r="K209" s="513"/>
      <c r="L209" s="523"/>
      <c r="M209" s="513"/>
      <c r="N209" s="524"/>
      <c r="O209" s="319"/>
      <c r="P209" s="319"/>
      <c r="Q209" s="319"/>
    </row>
    <row r="210" spans="1:17" s="320" customFormat="1" ht="15.75">
      <c r="A210" s="267"/>
      <c r="B210" s="340"/>
      <c r="C210" s="315"/>
      <c r="D210" s="315"/>
      <c r="E210" s="324"/>
      <c r="F210" s="268"/>
      <c r="G210" s="268"/>
      <c r="H210" s="513"/>
      <c r="I210" s="513"/>
      <c r="J210" s="523"/>
      <c r="K210" s="513"/>
      <c r="L210" s="523"/>
      <c r="M210" s="513"/>
      <c r="N210" s="524"/>
      <c r="O210" s="319"/>
      <c r="P210" s="319"/>
      <c r="Q210" s="319"/>
    </row>
    <row r="211" spans="1:17" s="320" customFormat="1" ht="15.75">
      <c r="A211" s="267"/>
      <c r="B211" s="340"/>
      <c r="C211" s="315"/>
      <c r="D211" s="315"/>
      <c r="E211" s="324"/>
      <c r="F211" s="268"/>
      <c r="G211" s="268"/>
      <c r="H211" s="513"/>
      <c r="I211" s="513"/>
      <c r="J211" s="523"/>
      <c r="K211" s="513"/>
      <c r="L211" s="523"/>
      <c r="M211" s="513"/>
      <c r="N211" s="524"/>
      <c r="O211" s="319"/>
      <c r="P211" s="319"/>
      <c r="Q211" s="319"/>
    </row>
    <row r="212" spans="1:17" s="320" customFormat="1" ht="15.75">
      <c r="A212" s="267"/>
      <c r="B212" s="340"/>
      <c r="C212" s="315"/>
      <c r="D212" s="315"/>
      <c r="E212" s="324"/>
      <c r="F212" s="268"/>
      <c r="G212" s="268"/>
      <c r="H212" s="513"/>
      <c r="I212" s="513"/>
      <c r="J212" s="523"/>
      <c r="K212" s="513"/>
      <c r="L212" s="523"/>
      <c r="M212" s="513"/>
      <c r="N212" s="524"/>
      <c r="O212" s="319"/>
      <c r="P212" s="319"/>
      <c r="Q212" s="319"/>
    </row>
    <row r="213" spans="1:17" s="320" customFormat="1" ht="15.75">
      <c r="A213" s="267"/>
      <c r="B213" s="340"/>
      <c r="C213" s="315"/>
      <c r="D213" s="315"/>
      <c r="E213" s="324"/>
      <c r="F213" s="268"/>
      <c r="G213" s="268"/>
      <c r="H213" s="513"/>
      <c r="I213" s="513"/>
      <c r="J213" s="523"/>
      <c r="K213" s="513"/>
      <c r="L213" s="523"/>
      <c r="M213" s="513"/>
      <c r="N213" s="524"/>
      <c r="O213" s="319"/>
      <c r="P213" s="319"/>
      <c r="Q213" s="319"/>
    </row>
    <row r="214" spans="1:17" s="320" customFormat="1" ht="15.75">
      <c r="A214" s="267"/>
      <c r="B214" s="340"/>
      <c r="C214" s="315"/>
      <c r="D214" s="315"/>
      <c r="E214" s="324"/>
      <c r="F214" s="268"/>
      <c r="G214" s="268"/>
      <c r="H214" s="513"/>
      <c r="I214" s="513"/>
      <c r="J214" s="523"/>
      <c r="K214" s="513"/>
      <c r="L214" s="523"/>
      <c r="M214" s="513"/>
      <c r="N214" s="524"/>
      <c r="O214" s="319"/>
      <c r="P214" s="319"/>
      <c r="Q214" s="319"/>
    </row>
    <row r="215" spans="1:17" s="320" customFormat="1" ht="15.75">
      <c r="A215" s="267"/>
      <c r="B215" s="340"/>
      <c r="C215" s="315"/>
      <c r="D215" s="315"/>
      <c r="E215" s="324"/>
      <c r="F215" s="268"/>
      <c r="G215" s="268"/>
      <c r="H215" s="513"/>
      <c r="I215" s="513"/>
      <c r="J215" s="523"/>
      <c r="K215" s="513"/>
      <c r="L215" s="523"/>
      <c r="M215" s="513"/>
      <c r="N215" s="524"/>
      <c r="O215" s="319"/>
      <c r="P215" s="319"/>
      <c r="Q215" s="319"/>
    </row>
    <row r="216" spans="1:17" s="320" customFormat="1" ht="15.75">
      <c r="A216" s="267"/>
      <c r="B216" s="340"/>
      <c r="C216" s="315"/>
      <c r="D216" s="315"/>
      <c r="E216" s="324"/>
      <c r="F216" s="268"/>
      <c r="G216" s="268"/>
      <c r="H216" s="513"/>
      <c r="I216" s="513"/>
      <c r="J216" s="523"/>
      <c r="K216" s="513"/>
      <c r="L216" s="523"/>
      <c r="M216" s="513"/>
      <c r="N216" s="524"/>
      <c r="O216" s="319"/>
      <c r="P216" s="319"/>
      <c r="Q216" s="319"/>
    </row>
    <row r="217" spans="1:17" s="320" customFormat="1" ht="15.75">
      <c r="A217" s="267"/>
      <c r="B217" s="340"/>
      <c r="C217" s="315"/>
      <c r="D217" s="315"/>
      <c r="E217" s="324"/>
      <c r="F217" s="268"/>
      <c r="G217" s="268"/>
      <c r="H217" s="513"/>
      <c r="I217" s="513"/>
      <c r="J217" s="523"/>
      <c r="K217" s="513"/>
      <c r="L217" s="523"/>
      <c r="M217" s="513"/>
      <c r="N217" s="524"/>
      <c r="O217" s="319"/>
      <c r="P217" s="319"/>
      <c r="Q217" s="319"/>
    </row>
    <row r="218" spans="1:17" s="320" customFormat="1" ht="15.75">
      <c r="A218" s="267"/>
      <c r="B218" s="340"/>
      <c r="C218" s="315"/>
      <c r="D218" s="315"/>
      <c r="E218" s="324"/>
      <c r="F218" s="268"/>
      <c r="G218" s="268"/>
      <c r="H218" s="513"/>
      <c r="I218" s="513"/>
      <c r="J218" s="523"/>
      <c r="K218" s="513"/>
      <c r="L218" s="523"/>
      <c r="M218" s="513"/>
      <c r="N218" s="524"/>
      <c r="O218" s="319"/>
      <c r="P218" s="319"/>
      <c r="Q218" s="319"/>
    </row>
    <row r="219" spans="1:17" s="320" customFormat="1" ht="15.75">
      <c r="A219" s="267"/>
      <c r="B219" s="340"/>
      <c r="C219" s="315"/>
      <c r="D219" s="315"/>
      <c r="E219" s="324"/>
      <c r="F219" s="268"/>
      <c r="G219" s="268"/>
      <c r="H219" s="513"/>
      <c r="I219" s="513"/>
      <c r="J219" s="523"/>
      <c r="K219" s="513"/>
      <c r="L219" s="523"/>
      <c r="M219" s="513"/>
      <c r="N219" s="524"/>
      <c r="O219" s="319"/>
      <c r="P219" s="319"/>
      <c r="Q219" s="319"/>
    </row>
    <row r="220" spans="1:17" s="320" customFormat="1" ht="15.75">
      <c r="A220" s="267"/>
      <c r="B220" s="340"/>
      <c r="C220" s="315"/>
      <c r="D220" s="315"/>
      <c r="E220" s="324"/>
      <c r="F220" s="268"/>
      <c r="G220" s="268"/>
      <c r="H220" s="513"/>
      <c r="I220" s="513"/>
      <c r="J220" s="523"/>
      <c r="K220" s="513"/>
      <c r="L220" s="523"/>
      <c r="M220" s="513"/>
      <c r="N220" s="524"/>
      <c r="O220" s="319"/>
      <c r="P220" s="319"/>
      <c r="Q220" s="319"/>
    </row>
    <row r="221" spans="1:17" s="320" customFormat="1" ht="15.75">
      <c r="A221" s="267"/>
      <c r="B221" s="340"/>
      <c r="C221" s="315"/>
      <c r="D221" s="315"/>
      <c r="E221" s="324"/>
      <c r="F221" s="268"/>
      <c r="G221" s="268"/>
      <c r="H221" s="513"/>
      <c r="I221" s="513"/>
      <c r="J221" s="523"/>
      <c r="K221" s="513"/>
      <c r="L221" s="523"/>
      <c r="M221" s="513"/>
      <c r="N221" s="524"/>
      <c r="O221" s="319"/>
      <c r="P221" s="319"/>
      <c r="Q221" s="319"/>
    </row>
    <row r="222" spans="1:17" s="320" customFormat="1" ht="15.75">
      <c r="A222" s="267"/>
      <c r="B222" s="340"/>
      <c r="C222" s="315"/>
      <c r="D222" s="315"/>
      <c r="E222" s="324"/>
      <c r="F222" s="268"/>
      <c r="G222" s="268"/>
      <c r="H222" s="513"/>
      <c r="I222" s="513"/>
      <c r="J222" s="523"/>
      <c r="K222" s="513"/>
      <c r="L222" s="523"/>
      <c r="M222" s="513"/>
      <c r="N222" s="524"/>
      <c r="O222" s="319"/>
      <c r="P222" s="319"/>
      <c r="Q222" s="319"/>
    </row>
    <row r="223" spans="1:17" s="320" customFormat="1" ht="15.75">
      <c r="A223" s="267"/>
      <c r="B223" s="340"/>
      <c r="C223" s="315"/>
      <c r="D223" s="315"/>
      <c r="E223" s="324"/>
      <c r="F223" s="268"/>
      <c r="G223" s="268"/>
      <c r="H223" s="513"/>
      <c r="I223" s="513"/>
      <c r="J223" s="523"/>
      <c r="K223" s="513"/>
      <c r="L223" s="523"/>
      <c r="M223" s="513"/>
      <c r="N223" s="524"/>
      <c r="O223" s="319"/>
      <c r="P223" s="319"/>
      <c r="Q223" s="319"/>
    </row>
    <row r="224" spans="1:17" s="320" customFormat="1" ht="15.75">
      <c r="A224" s="267"/>
      <c r="B224" s="340"/>
      <c r="C224" s="315"/>
      <c r="D224" s="315"/>
      <c r="E224" s="324"/>
      <c r="F224" s="268"/>
      <c r="G224" s="268"/>
      <c r="H224" s="513"/>
      <c r="I224" s="513"/>
      <c r="J224" s="523"/>
      <c r="K224" s="513"/>
      <c r="L224" s="523"/>
      <c r="M224" s="513"/>
      <c r="N224" s="524"/>
      <c r="O224" s="319"/>
      <c r="P224" s="319"/>
      <c r="Q224" s="319"/>
    </row>
    <row r="225" spans="1:17" s="320" customFormat="1" ht="15.75">
      <c r="A225" s="267"/>
      <c r="B225" s="340"/>
      <c r="C225" s="315"/>
      <c r="D225" s="315"/>
      <c r="E225" s="324"/>
      <c r="F225" s="268"/>
      <c r="G225" s="268"/>
      <c r="H225" s="513"/>
      <c r="I225" s="513"/>
      <c r="J225" s="523"/>
      <c r="K225" s="513"/>
      <c r="L225" s="523"/>
      <c r="M225" s="513"/>
      <c r="N225" s="524"/>
      <c r="O225" s="319"/>
      <c r="P225" s="319"/>
      <c r="Q225" s="319"/>
    </row>
    <row r="226" spans="1:17" s="320" customFormat="1" ht="15.75">
      <c r="A226" s="267"/>
      <c r="B226" s="340"/>
      <c r="C226" s="315"/>
      <c r="D226" s="315"/>
      <c r="E226" s="324"/>
      <c r="F226" s="268"/>
      <c r="G226" s="268"/>
      <c r="H226" s="513"/>
      <c r="I226" s="513"/>
      <c r="J226" s="523"/>
      <c r="K226" s="513"/>
      <c r="L226" s="523"/>
      <c r="M226" s="513"/>
      <c r="N226" s="524"/>
      <c r="O226" s="319"/>
      <c r="P226" s="319"/>
      <c r="Q226" s="319"/>
    </row>
    <row r="227" spans="1:17" s="320" customFormat="1" ht="15.75">
      <c r="A227" s="267"/>
      <c r="B227" s="340"/>
      <c r="C227" s="315"/>
      <c r="D227" s="315"/>
      <c r="E227" s="324"/>
      <c r="F227" s="268"/>
      <c r="G227" s="268"/>
      <c r="H227" s="513"/>
      <c r="I227" s="513"/>
      <c r="J227" s="523"/>
      <c r="K227" s="513"/>
      <c r="L227" s="523"/>
      <c r="M227" s="513"/>
      <c r="N227" s="524"/>
      <c r="O227" s="319"/>
      <c r="P227" s="319"/>
      <c r="Q227" s="319"/>
    </row>
    <row r="228" spans="1:17" s="320" customFormat="1" ht="15.75">
      <c r="A228" s="267"/>
      <c r="B228" s="340"/>
      <c r="C228" s="315"/>
      <c r="D228" s="315"/>
      <c r="E228" s="324"/>
      <c r="F228" s="268"/>
      <c r="G228" s="268"/>
      <c r="H228" s="513"/>
      <c r="I228" s="513"/>
      <c r="J228" s="523"/>
      <c r="K228" s="513"/>
      <c r="L228" s="523"/>
      <c r="M228" s="513"/>
      <c r="N228" s="524"/>
      <c r="O228" s="319"/>
      <c r="P228" s="319"/>
      <c r="Q228" s="319"/>
    </row>
    <row r="229" spans="1:17" s="320" customFormat="1" ht="15.75">
      <c r="A229" s="267"/>
      <c r="B229" s="340"/>
      <c r="C229" s="315"/>
      <c r="D229" s="315"/>
      <c r="E229" s="324"/>
      <c r="F229" s="268"/>
      <c r="G229" s="268"/>
      <c r="H229" s="513"/>
      <c r="I229" s="513"/>
      <c r="J229" s="523"/>
      <c r="K229" s="513"/>
      <c r="L229" s="523"/>
      <c r="M229" s="513"/>
      <c r="N229" s="524"/>
      <c r="O229" s="319"/>
      <c r="P229" s="319"/>
      <c r="Q229" s="319"/>
    </row>
    <row r="230" spans="1:17" s="320" customFormat="1" ht="15.75">
      <c r="A230" s="267"/>
      <c r="B230" s="340"/>
      <c r="C230" s="315"/>
      <c r="D230" s="315"/>
      <c r="E230" s="324"/>
      <c r="F230" s="268"/>
      <c r="G230" s="268"/>
      <c r="H230" s="513"/>
      <c r="I230" s="513"/>
      <c r="J230" s="523"/>
      <c r="K230" s="513"/>
      <c r="L230" s="523"/>
      <c r="M230" s="513"/>
      <c r="N230" s="524"/>
      <c r="O230" s="319"/>
      <c r="P230" s="319"/>
      <c r="Q230" s="319"/>
    </row>
    <row r="231" spans="1:17" s="320" customFormat="1" ht="15.75">
      <c r="A231" s="267"/>
      <c r="B231" s="340"/>
      <c r="C231" s="315"/>
      <c r="D231" s="315"/>
      <c r="E231" s="324"/>
      <c r="F231" s="268"/>
      <c r="G231" s="268"/>
      <c r="H231" s="513"/>
      <c r="I231" s="513"/>
      <c r="J231" s="523"/>
      <c r="K231" s="513"/>
      <c r="L231" s="523"/>
      <c r="M231" s="513"/>
      <c r="N231" s="524"/>
      <c r="O231" s="319"/>
      <c r="P231" s="319"/>
      <c r="Q231" s="319"/>
    </row>
    <row r="232" spans="1:17" s="320" customFormat="1" ht="15.75">
      <c r="A232" s="267"/>
      <c r="B232" s="340"/>
      <c r="C232" s="315"/>
      <c r="D232" s="315"/>
      <c r="E232" s="324"/>
      <c r="F232" s="268"/>
      <c r="G232" s="268"/>
      <c r="H232" s="513"/>
      <c r="I232" s="513"/>
      <c r="J232" s="523"/>
      <c r="K232" s="513"/>
      <c r="L232" s="523"/>
      <c r="M232" s="513"/>
      <c r="N232" s="524"/>
      <c r="O232" s="319"/>
      <c r="P232" s="319"/>
      <c r="Q232" s="319"/>
    </row>
    <row r="233" spans="1:17" s="320" customFormat="1" ht="15.75">
      <c r="A233" s="267"/>
      <c r="B233" s="340"/>
      <c r="C233" s="315"/>
      <c r="D233" s="315"/>
      <c r="E233" s="324"/>
      <c r="F233" s="268"/>
      <c r="G233" s="268"/>
      <c r="H233" s="513"/>
      <c r="I233" s="513"/>
      <c r="J233" s="523"/>
      <c r="K233" s="513"/>
      <c r="L233" s="523"/>
      <c r="M233" s="513"/>
      <c r="N233" s="524"/>
      <c r="O233" s="319"/>
      <c r="P233" s="319"/>
      <c r="Q233" s="319"/>
    </row>
    <row r="234" spans="1:17" s="320" customFormat="1" ht="15.75">
      <c r="A234" s="313"/>
      <c r="B234" s="341"/>
      <c r="C234" s="319"/>
      <c r="D234" s="319"/>
      <c r="E234" s="333"/>
      <c r="F234" s="292"/>
      <c r="G234" s="292"/>
      <c r="H234" s="524"/>
      <c r="I234" s="524"/>
      <c r="J234" s="525"/>
      <c r="K234" s="524"/>
      <c r="L234" s="525"/>
      <c r="M234" s="524"/>
      <c r="N234" s="524"/>
      <c r="O234" s="319"/>
      <c r="P234" s="319"/>
      <c r="Q234" s="319"/>
    </row>
    <row r="235" spans="1:17" s="320" customFormat="1" ht="15.75">
      <c r="A235" s="313"/>
      <c r="B235" s="341"/>
      <c r="C235" s="319"/>
      <c r="D235" s="319"/>
      <c r="E235" s="333"/>
      <c r="F235" s="292"/>
      <c r="G235" s="292"/>
      <c r="H235" s="524"/>
      <c r="I235" s="524"/>
      <c r="J235" s="525"/>
      <c r="K235" s="524"/>
      <c r="L235" s="525"/>
      <c r="M235" s="524"/>
      <c r="N235" s="524"/>
      <c r="O235" s="319"/>
      <c r="P235" s="319"/>
      <c r="Q235" s="319"/>
    </row>
    <row r="236" spans="1:17" s="320" customFormat="1" ht="15.75">
      <c r="A236" s="313"/>
      <c r="B236" s="341"/>
      <c r="C236" s="319"/>
      <c r="D236" s="319"/>
      <c r="E236" s="333"/>
      <c r="F236" s="292"/>
      <c r="G236" s="292"/>
      <c r="H236" s="524"/>
      <c r="I236" s="524"/>
      <c r="J236" s="525"/>
      <c r="K236" s="524"/>
      <c r="L236" s="525"/>
      <c r="M236" s="524"/>
      <c r="N236" s="524"/>
      <c r="O236" s="319"/>
      <c r="P236" s="319"/>
      <c r="Q236" s="319"/>
    </row>
    <row r="237" spans="1:17" s="320" customFormat="1" ht="15.75">
      <c r="A237" s="313"/>
      <c r="B237" s="341"/>
      <c r="C237" s="319"/>
      <c r="D237" s="319"/>
      <c r="E237" s="333"/>
      <c r="F237" s="292"/>
      <c r="G237" s="292"/>
      <c r="H237" s="524"/>
      <c r="I237" s="524"/>
      <c r="J237" s="525"/>
      <c r="K237" s="524"/>
      <c r="L237" s="525"/>
      <c r="M237" s="524"/>
      <c r="N237" s="524"/>
      <c r="O237" s="319"/>
      <c r="P237" s="319"/>
      <c r="Q237" s="319"/>
    </row>
    <row r="281" spans="1:4" ht="15.75">
      <c r="A281" s="319"/>
      <c r="B281" s="333"/>
      <c r="C281" s="322"/>
      <c r="D281" s="322"/>
    </row>
    <row r="282" spans="1:4" ht="15.75">
      <c r="A282" s="319"/>
      <c r="B282" s="333"/>
      <c r="C282" s="322"/>
      <c r="D282" s="322"/>
    </row>
    <row r="283" spans="1:4" ht="15.75">
      <c r="A283" s="319"/>
      <c r="B283" s="333"/>
      <c r="C283" s="322"/>
      <c r="D283" s="322"/>
    </row>
    <row r="284" spans="1:4" ht="15.75">
      <c r="A284" s="319"/>
      <c r="B284" s="333"/>
      <c r="C284" s="322"/>
      <c r="D284" s="322"/>
    </row>
    <row r="285" spans="1:4" ht="15.75">
      <c r="A285" s="319"/>
      <c r="B285" s="333"/>
      <c r="C285" s="322"/>
      <c r="D285" s="322"/>
    </row>
    <row r="286" spans="1:4" ht="15.75">
      <c r="A286" s="319"/>
      <c r="B286" s="333"/>
      <c r="C286" s="322"/>
      <c r="D286" s="322"/>
    </row>
    <row r="287" spans="1:4" ht="15.75">
      <c r="A287" s="319"/>
      <c r="B287" s="333"/>
      <c r="C287" s="322"/>
      <c r="D287" s="322"/>
    </row>
    <row r="288" spans="1:4" ht="15.75">
      <c r="A288" s="319"/>
      <c r="B288" s="333"/>
      <c r="C288" s="322"/>
      <c r="D288" s="322"/>
    </row>
    <row r="289" spans="1:4" ht="15.75">
      <c r="A289" s="319"/>
      <c r="B289" s="333"/>
      <c r="C289" s="322"/>
      <c r="D289" s="322"/>
    </row>
    <row r="290" spans="1:4" ht="15.75">
      <c r="A290" s="319"/>
      <c r="B290" s="333"/>
      <c r="C290" s="322"/>
      <c r="D290" s="322"/>
    </row>
    <row r="291" spans="1:4" ht="15.75">
      <c r="A291" s="319"/>
      <c r="B291" s="333"/>
      <c r="C291" s="322"/>
      <c r="D291" s="322"/>
    </row>
    <row r="292" spans="1:4" ht="15.75">
      <c r="A292" s="319"/>
      <c r="B292" s="333"/>
      <c r="C292" s="322"/>
      <c r="D292" s="322"/>
    </row>
    <row r="293" spans="1:4" ht="15.75">
      <c r="A293" s="319"/>
      <c r="B293" s="333"/>
      <c r="C293" s="322"/>
      <c r="D293" s="322"/>
    </row>
    <row r="294" spans="1:4" ht="15.75">
      <c r="A294" s="319"/>
      <c r="B294" s="333"/>
      <c r="C294" s="322"/>
      <c r="D294" s="322"/>
    </row>
    <row r="295" spans="1:4" ht="15.75">
      <c r="A295" s="319"/>
      <c r="B295" s="333"/>
      <c r="C295" s="322"/>
      <c r="D295" s="322"/>
    </row>
    <row r="296" spans="1:4" ht="15.75">
      <c r="A296" s="319"/>
      <c r="B296" s="333"/>
      <c r="C296" s="322"/>
      <c r="D296" s="322"/>
    </row>
    <row r="297" spans="1:4" ht="15.75">
      <c r="A297" s="319"/>
      <c r="B297" s="333"/>
      <c r="C297" s="322"/>
      <c r="D297" s="322"/>
    </row>
    <row r="298" spans="1:4" ht="15.75">
      <c r="A298" s="319"/>
      <c r="B298" s="333"/>
      <c r="C298" s="322"/>
      <c r="D298" s="322"/>
    </row>
    <row r="299" spans="1:4" ht="15.75">
      <c r="A299" s="319"/>
      <c r="B299" s="333"/>
      <c r="C299" s="322"/>
      <c r="D299" s="322"/>
    </row>
    <row r="300" spans="1:4" ht="15.75">
      <c r="A300" s="319"/>
      <c r="B300" s="333"/>
      <c r="C300" s="322"/>
      <c r="D300" s="322"/>
    </row>
    <row r="301" spans="1:4" ht="15.75">
      <c r="A301" s="319"/>
      <c r="B301" s="333"/>
      <c r="C301" s="322"/>
      <c r="D301" s="322"/>
    </row>
    <row r="302" spans="1:4" ht="15.75">
      <c r="A302" s="319"/>
      <c r="B302" s="333"/>
      <c r="C302" s="322"/>
      <c r="D302" s="322"/>
    </row>
    <row r="303" spans="1:4" ht="15.75">
      <c r="A303" s="319"/>
      <c r="B303" s="333"/>
      <c r="C303" s="322"/>
      <c r="D303" s="322"/>
    </row>
    <row r="304" spans="1:4" ht="15.75">
      <c r="A304" s="319"/>
      <c r="B304" s="333"/>
      <c r="C304" s="322"/>
      <c r="D304" s="322"/>
    </row>
    <row r="305" spans="1:4" ht="15.75">
      <c r="A305" s="319"/>
      <c r="B305" s="333"/>
      <c r="C305" s="322"/>
      <c r="D305" s="322"/>
    </row>
    <row r="306" spans="1:4" ht="15.75">
      <c r="A306" s="319"/>
      <c r="B306" s="333"/>
      <c r="C306" s="322"/>
      <c r="D306" s="322"/>
    </row>
    <row r="307" spans="1:4" ht="15.75">
      <c r="A307" s="319"/>
      <c r="B307" s="333"/>
      <c r="C307" s="322"/>
      <c r="D307" s="322"/>
    </row>
    <row r="308" spans="1:4" ht="15.75">
      <c r="A308" s="319"/>
      <c r="B308" s="333"/>
      <c r="C308" s="322"/>
      <c r="D308" s="322"/>
    </row>
    <row r="309" spans="1:4" ht="15.75">
      <c r="A309" s="319"/>
      <c r="B309" s="333"/>
      <c r="C309" s="322"/>
      <c r="D309" s="322"/>
    </row>
    <row r="310" spans="1:4" ht="15.75">
      <c r="A310" s="319"/>
      <c r="B310" s="333"/>
      <c r="C310" s="322"/>
      <c r="D310" s="322"/>
    </row>
    <row r="311" spans="1:4" ht="15.75">
      <c r="A311" s="319"/>
      <c r="B311" s="333"/>
      <c r="C311" s="322"/>
      <c r="D311" s="322"/>
    </row>
    <row r="312" spans="1:4" ht="15.75">
      <c r="A312" s="319"/>
      <c r="B312" s="333"/>
      <c r="C312" s="322"/>
      <c r="D312" s="322"/>
    </row>
    <row r="313" spans="1:4" ht="15.75">
      <c r="A313" s="319"/>
      <c r="B313" s="333"/>
      <c r="C313" s="322"/>
      <c r="D313" s="322"/>
    </row>
    <row r="314" spans="1:4" ht="15.75">
      <c r="A314" s="319"/>
      <c r="B314" s="333"/>
      <c r="C314" s="322"/>
      <c r="D314" s="322"/>
    </row>
    <row r="315" spans="1:4" ht="15.75">
      <c r="A315" s="319"/>
      <c r="B315" s="333"/>
      <c r="C315" s="322"/>
      <c r="D315" s="322"/>
    </row>
    <row r="316" spans="1:4" ht="15.75">
      <c r="A316" s="319"/>
      <c r="B316" s="333"/>
      <c r="C316" s="322"/>
      <c r="D316" s="322"/>
    </row>
    <row r="317" spans="1:4" ht="15.75">
      <c r="A317" s="319"/>
      <c r="B317" s="333"/>
      <c r="C317" s="322"/>
      <c r="D317" s="322"/>
    </row>
    <row r="318" spans="1:4" ht="15.75">
      <c r="A318" s="319"/>
      <c r="B318" s="333"/>
      <c r="C318" s="322"/>
      <c r="D318" s="322"/>
    </row>
    <row r="319" spans="1:4" ht="15.75">
      <c r="A319" s="319"/>
      <c r="B319" s="333"/>
      <c r="C319" s="322"/>
      <c r="D319" s="322"/>
    </row>
    <row r="320" spans="1:4" ht="15.75">
      <c r="A320" s="319"/>
      <c r="B320" s="333"/>
      <c r="C320" s="322"/>
      <c r="D320" s="322"/>
    </row>
    <row r="321" spans="1:4" ht="15.75">
      <c r="A321" s="319"/>
      <c r="B321" s="333"/>
      <c r="C321" s="322"/>
      <c r="D321" s="322"/>
    </row>
    <row r="322" spans="1:4" ht="15.75">
      <c r="A322" s="319"/>
      <c r="B322" s="333"/>
      <c r="C322" s="322"/>
      <c r="D322" s="322"/>
    </row>
    <row r="323" spans="1:4" ht="15.75">
      <c r="A323" s="319"/>
      <c r="B323" s="333"/>
      <c r="C323" s="322"/>
      <c r="D323" s="322"/>
    </row>
    <row r="324" spans="1:4" ht="15.75">
      <c r="A324" s="319"/>
      <c r="B324" s="333"/>
      <c r="C324" s="322"/>
      <c r="D324" s="322"/>
    </row>
    <row r="325" spans="1:4" ht="15.75">
      <c r="A325" s="319"/>
      <c r="B325" s="333"/>
      <c r="C325" s="322"/>
      <c r="D325" s="322"/>
    </row>
    <row r="326" spans="1:4" ht="15.75">
      <c r="A326" s="319"/>
      <c r="B326" s="333"/>
      <c r="C326" s="322"/>
      <c r="D326" s="322"/>
    </row>
    <row r="327" spans="1:4" ht="15.75">
      <c r="A327" s="319"/>
      <c r="B327" s="333"/>
      <c r="C327" s="322"/>
      <c r="D327" s="322"/>
    </row>
    <row r="328" spans="1:4" ht="15.75">
      <c r="A328" s="319"/>
      <c r="B328" s="333"/>
      <c r="C328" s="322"/>
      <c r="D328" s="322"/>
    </row>
    <row r="329" spans="1:4" ht="15.75">
      <c r="A329" s="319"/>
      <c r="B329" s="333"/>
      <c r="C329" s="322"/>
      <c r="D329" s="322"/>
    </row>
    <row r="330" spans="1:4" ht="15.75">
      <c r="A330" s="319"/>
      <c r="B330" s="333"/>
      <c r="C330" s="322"/>
      <c r="D330" s="322"/>
    </row>
    <row r="331" spans="1:4" ht="15.75">
      <c r="A331" s="319"/>
      <c r="B331" s="333"/>
      <c r="C331" s="322"/>
      <c r="D331" s="322"/>
    </row>
    <row r="332" spans="1:4" ht="15.75">
      <c r="A332" s="319"/>
      <c r="B332" s="333"/>
      <c r="C332" s="322"/>
      <c r="D332" s="322"/>
    </row>
    <row r="333" spans="1:4" ht="15.75">
      <c r="A333" s="319"/>
      <c r="B333" s="333"/>
      <c r="C333" s="322"/>
      <c r="D333" s="322"/>
    </row>
    <row r="334" spans="1:4" ht="15.75">
      <c r="A334" s="319"/>
      <c r="B334" s="333"/>
      <c r="C334" s="322"/>
      <c r="D334" s="322"/>
    </row>
    <row r="335" spans="1:4" ht="15.75">
      <c r="A335" s="319"/>
      <c r="B335" s="333"/>
      <c r="C335" s="322"/>
      <c r="D335" s="322"/>
    </row>
    <row r="336" spans="1:4" ht="15.75">
      <c r="A336" s="319"/>
      <c r="B336" s="333"/>
      <c r="C336" s="322"/>
      <c r="D336" s="322"/>
    </row>
    <row r="337" spans="1:4" ht="15.75">
      <c r="A337" s="319"/>
      <c r="B337" s="333"/>
      <c r="C337" s="322"/>
      <c r="D337" s="322"/>
    </row>
    <row r="338" spans="1:4" ht="15.75">
      <c r="A338" s="319"/>
      <c r="B338" s="333"/>
      <c r="C338" s="322"/>
      <c r="D338" s="322"/>
    </row>
    <row r="339" spans="1:4" ht="15.75">
      <c r="A339" s="319"/>
      <c r="B339" s="333"/>
      <c r="C339" s="322"/>
      <c r="D339" s="322"/>
    </row>
    <row r="340" spans="1:4" ht="15.75">
      <c r="A340" s="319"/>
      <c r="B340" s="333"/>
      <c r="C340" s="322"/>
      <c r="D340" s="322"/>
    </row>
    <row r="341" spans="1:4" ht="15.75">
      <c r="A341" s="319"/>
      <c r="B341" s="333"/>
      <c r="C341" s="322"/>
      <c r="D341" s="322"/>
    </row>
    <row r="342" spans="1:4" ht="15.75">
      <c r="A342" s="319"/>
      <c r="B342" s="333"/>
      <c r="C342" s="322"/>
      <c r="D342" s="322"/>
    </row>
    <row r="343" spans="1:4" ht="15.75">
      <c r="A343" s="319"/>
      <c r="B343" s="333"/>
      <c r="C343" s="322"/>
      <c r="D343" s="322"/>
    </row>
    <row r="344" spans="1:4" ht="15.75">
      <c r="A344" s="319"/>
      <c r="B344" s="333"/>
      <c r="C344" s="322"/>
      <c r="D344" s="322"/>
    </row>
    <row r="345" spans="1:4" ht="15.75">
      <c r="A345" s="319"/>
      <c r="B345" s="333"/>
      <c r="C345" s="322"/>
      <c r="D345" s="322"/>
    </row>
    <row r="346" spans="1:4" ht="15.75">
      <c r="A346" s="319"/>
      <c r="B346" s="333"/>
      <c r="C346" s="322"/>
      <c r="D346" s="322"/>
    </row>
    <row r="347" spans="1:4" ht="15.75">
      <c r="A347" s="319"/>
      <c r="B347" s="333"/>
      <c r="C347" s="322"/>
      <c r="D347" s="322"/>
    </row>
    <row r="348" spans="1:4" ht="15.75">
      <c r="A348" s="319"/>
      <c r="B348" s="333"/>
      <c r="C348" s="322"/>
      <c r="D348" s="322"/>
    </row>
    <row r="349" spans="1:4" ht="15.75">
      <c r="A349" s="319"/>
      <c r="B349" s="333"/>
      <c r="C349" s="322"/>
      <c r="D349" s="322"/>
    </row>
    <row r="350" spans="1:4" ht="15.75">
      <c r="A350" s="319"/>
      <c r="B350" s="333"/>
      <c r="C350" s="322"/>
      <c r="D350" s="322"/>
    </row>
    <row r="351" spans="1:4" ht="15.75">
      <c r="A351" s="319"/>
      <c r="B351" s="333"/>
      <c r="C351" s="322"/>
      <c r="D351" s="322"/>
    </row>
    <row r="352" spans="1:4" ht="15.75">
      <c r="A352" s="319"/>
      <c r="B352" s="333"/>
      <c r="C352" s="322"/>
      <c r="D352" s="322"/>
    </row>
    <row r="353" spans="1:4" ht="15.75">
      <c r="A353" s="319"/>
      <c r="B353" s="333"/>
      <c r="C353" s="322"/>
      <c r="D353" s="322"/>
    </row>
    <row r="354" spans="1:4" ht="15.75">
      <c r="A354" s="319"/>
      <c r="B354" s="333"/>
      <c r="C354" s="322"/>
      <c r="D354" s="322"/>
    </row>
    <row r="355" spans="1:4" ht="15.75">
      <c r="A355" s="319"/>
      <c r="B355" s="333"/>
      <c r="C355" s="322"/>
      <c r="D355" s="322"/>
    </row>
    <row r="356" spans="1:4" ht="15.75">
      <c r="A356" s="319"/>
      <c r="B356" s="333"/>
      <c r="C356" s="322"/>
      <c r="D356" s="322"/>
    </row>
    <row r="357" spans="1:4" ht="15.75">
      <c r="A357" s="319"/>
      <c r="B357" s="333"/>
      <c r="C357" s="322"/>
      <c r="D357" s="322"/>
    </row>
    <row r="358" spans="1:4" ht="15.75">
      <c r="A358" s="319"/>
      <c r="B358" s="333"/>
      <c r="C358" s="322"/>
      <c r="D358" s="322"/>
    </row>
    <row r="359" spans="1:4" ht="15.75">
      <c r="A359" s="319"/>
      <c r="B359" s="333"/>
      <c r="C359" s="322"/>
      <c r="D359" s="322"/>
    </row>
    <row r="360" spans="1:4" ht="15.75">
      <c r="A360" s="319"/>
      <c r="B360" s="333"/>
      <c r="C360" s="322"/>
      <c r="D360" s="322"/>
    </row>
    <row r="361" spans="1:4" ht="15.75">
      <c r="A361" s="319"/>
      <c r="B361" s="333"/>
      <c r="C361" s="322"/>
      <c r="D361" s="322"/>
    </row>
    <row r="362" spans="1:4" ht="15.75">
      <c r="A362" s="319"/>
      <c r="B362" s="333"/>
      <c r="C362" s="322"/>
      <c r="D362" s="322"/>
    </row>
    <row r="363" spans="1:4" ht="15.75">
      <c r="A363" s="319"/>
      <c r="B363" s="333"/>
      <c r="C363" s="322"/>
      <c r="D363" s="322"/>
    </row>
    <row r="364" spans="1:4" ht="15.75">
      <c r="A364" s="319"/>
      <c r="B364" s="333"/>
      <c r="C364" s="322"/>
      <c r="D364" s="322"/>
    </row>
    <row r="365" spans="1:4" ht="15.75">
      <c r="A365" s="319"/>
      <c r="B365" s="333"/>
      <c r="C365" s="322"/>
      <c r="D365" s="322"/>
    </row>
    <row r="366" spans="1:4" ht="15.75">
      <c r="A366" s="319"/>
      <c r="B366" s="333"/>
      <c r="C366" s="322"/>
      <c r="D366" s="322"/>
    </row>
    <row r="367" spans="1:4" ht="15.75">
      <c r="A367" s="319"/>
      <c r="B367" s="333"/>
      <c r="C367" s="322"/>
      <c r="D367" s="322"/>
    </row>
    <row r="368" spans="1:4" ht="15.75">
      <c r="A368" s="319"/>
      <c r="B368" s="333"/>
      <c r="C368" s="322"/>
      <c r="D368" s="322"/>
    </row>
    <row r="369" spans="1:4" ht="15.75">
      <c r="A369" s="319"/>
      <c r="B369" s="333"/>
      <c r="C369" s="322"/>
      <c r="D369" s="322"/>
    </row>
    <row r="370" spans="1:4" ht="15.75">
      <c r="A370" s="319"/>
      <c r="B370" s="333"/>
      <c r="C370" s="322"/>
      <c r="D370" s="322"/>
    </row>
    <row r="371" spans="1:4" ht="15.75">
      <c r="A371" s="319"/>
      <c r="B371" s="333"/>
      <c r="C371" s="322"/>
      <c r="D371" s="322"/>
    </row>
    <row r="372" spans="1:4" ht="15.75">
      <c r="A372" s="319"/>
      <c r="B372" s="333"/>
      <c r="C372" s="322"/>
      <c r="D372" s="322"/>
    </row>
    <row r="373" spans="1:4" ht="15.75">
      <c r="A373" s="319"/>
      <c r="B373" s="333"/>
      <c r="C373" s="322"/>
      <c r="D373" s="322"/>
    </row>
    <row r="374" spans="1:4" ht="15.75">
      <c r="A374" s="319"/>
      <c r="B374" s="333"/>
      <c r="C374" s="322"/>
      <c r="D374" s="322"/>
    </row>
    <row r="375" spans="1:4" ht="15.75">
      <c r="A375" s="319"/>
      <c r="B375" s="333"/>
      <c r="C375" s="322"/>
      <c r="D375" s="322"/>
    </row>
    <row r="376" spans="1:4" ht="15.75">
      <c r="A376" s="319"/>
      <c r="B376" s="333"/>
      <c r="C376" s="322"/>
      <c r="D376" s="322"/>
    </row>
    <row r="377" spans="1:4" ht="15.75">
      <c r="A377" s="319"/>
      <c r="B377" s="333"/>
      <c r="C377" s="322"/>
      <c r="D377" s="322"/>
    </row>
    <row r="378" spans="1:4" ht="15.75">
      <c r="A378" s="319"/>
      <c r="B378" s="333"/>
      <c r="C378" s="322"/>
      <c r="D378" s="322"/>
    </row>
    <row r="379" spans="1:4" ht="15.75">
      <c r="A379" s="319"/>
      <c r="B379" s="333"/>
      <c r="C379" s="322"/>
      <c r="D379" s="322"/>
    </row>
    <row r="380" spans="1:4" ht="15.75">
      <c r="A380" s="319"/>
      <c r="B380" s="333"/>
      <c r="C380" s="322"/>
      <c r="D380" s="322"/>
    </row>
    <row r="381" spans="1:4" ht="15.75">
      <c r="A381" s="319"/>
      <c r="B381" s="333"/>
      <c r="C381" s="322"/>
      <c r="D381" s="322"/>
    </row>
    <row r="382" spans="1:4" ht="15.75">
      <c r="A382" s="319"/>
      <c r="B382" s="333"/>
      <c r="C382" s="322"/>
      <c r="D382" s="322"/>
    </row>
    <row r="383" spans="1:4" ht="15.75">
      <c r="A383" s="319"/>
      <c r="B383" s="333"/>
      <c r="C383" s="322"/>
      <c r="D383" s="322"/>
    </row>
    <row r="384" spans="1:4" ht="15.75">
      <c r="A384" s="319"/>
      <c r="B384" s="333"/>
      <c r="C384" s="322"/>
      <c r="D384" s="322"/>
    </row>
    <row r="385" spans="1:4" ht="15.75">
      <c r="A385" s="319"/>
      <c r="B385" s="333"/>
      <c r="C385" s="322"/>
      <c r="D385" s="322"/>
    </row>
    <row r="386" spans="1:4" ht="15.75">
      <c r="A386" s="319"/>
      <c r="B386" s="333"/>
      <c r="C386" s="322"/>
      <c r="D386" s="322"/>
    </row>
    <row r="387" spans="1:4" ht="15.75">
      <c r="A387" s="319"/>
      <c r="B387" s="333"/>
      <c r="C387" s="322"/>
      <c r="D387" s="322"/>
    </row>
    <row r="388" spans="1:4" ht="15.75">
      <c r="A388" s="319"/>
      <c r="B388" s="333"/>
      <c r="C388" s="322"/>
      <c r="D388" s="322"/>
    </row>
    <row r="389" spans="1:4" ht="15.75">
      <c r="A389" s="319"/>
      <c r="B389" s="333"/>
      <c r="C389" s="322"/>
      <c r="D389" s="322"/>
    </row>
    <row r="390" spans="1:4" ht="15.75">
      <c r="A390" s="319"/>
      <c r="B390" s="333"/>
      <c r="C390" s="322"/>
      <c r="D390" s="322"/>
    </row>
    <row r="391" spans="1:4" ht="15.75">
      <c r="A391" s="319"/>
      <c r="B391" s="333"/>
      <c r="C391" s="322"/>
      <c r="D391" s="322"/>
    </row>
    <row r="392" spans="1:4" ht="15.75">
      <c r="A392" s="319"/>
      <c r="B392" s="333"/>
      <c r="C392" s="322"/>
      <c r="D392" s="322"/>
    </row>
    <row r="393" spans="1:4" ht="15.75">
      <c r="A393" s="319"/>
      <c r="B393" s="333"/>
      <c r="C393" s="322"/>
      <c r="D393" s="322"/>
    </row>
    <row r="394" spans="1:4" ht="15.75">
      <c r="A394" s="319"/>
      <c r="B394" s="333"/>
      <c r="C394" s="322"/>
      <c r="D394" s="322"/>
    </row>
    <row r="395" spans="1:4" ht="15.75">
      <c r="A395" s="319"/>
      <c r="B395" s="333"/>
      <c r="C395" s="322"/>
      <c r="D395" s="322"/>
    </row>
    <row r="396" spans="1:4" ht="15.75">
      <c r="A396" s="319"/>
      <c r="B396" s="333"/>
      <c r="C396" s="322"/>
      <c r="D396" s="322"/>
    </row>
    <row r="397" spans="1:4" ht="15.75">
      <c r="A397" s="319"/>
      <c r="B397" s="333"/>
      <c r="C397" s="322"/>
      <c r="D397" s="322"/>
    </row>
    <row r="398" spans="1:4" ht="15.75">
      <c r="A398" s="319"/>
      <c r="B398" s="333"/>
      <c r="C398" s="322"/>
      <c r="D398" s="322"/>
    </row>
    <row r="399" spans="1:4" ht="15.75">
      <c r="A399" s="319"/>
      <c r="B399" s="333"/>
      <c r="C399" s="322"/>
      <c r="D399" s="322"/>
    </row>
    <row r="400" spans="1:4" ht="15.75">
      <c r="A400" s="319"/>
      <c r="B400" s="333"/>
      <c r="C400" s="322"/>
      <c r="D400" s="322"/>
    </row>
    <row r="401" spans="1:4" ht="15.75">
      <c r="A401" s="319"/>
      <c r="B401" s="333"/>
      <c r="C401" s="322"/>
      <c r="D401" s="322"/>
    </row>
    <row r="402" spans="1:4" ht="15.75">
      <c r="A402" s="319"/>
      <c r="B402" s="333"/>
      <c r="C402" s="322"/>
      <c r="D402" s="322"/>
    </row>
    <row r="403" spans="1:4" ht="15.75">
      <c r="A403" s="319"/>
      <c r="B403" s="333"/>
      <c r="C403" s="322"/>
      <c r="D403" s="322"/>
    </row>
    <row r="404" spans="1:4" ht="15.75">
      <c r="A404" s="319"/>
      <c r="B404" s="333"/>
      <c r="C404" s="322"/>
      <c r="D404" s="322"/>
    </row>
    <row r="405" spans="1:4" ht="15.75">
      <c r="A405" s="319"/>
      <c r="B405" s="333"/>
      <c r="C405" s="322"/>
      <c r="D405" s="322"/>
    </row>
    <row r="406" spans="1:4" ht="15.75">
      <c r="A406" s="319"/>
      <c r="B406" s="333"/>
      <c r="C406" s="322"/>
      <c r="D406" s="322"/>
    </row>
    <row r="407" spans="1:4" ht="15.75">
      <c r="A407" s="319"/>
      <c r="B407" s="333"/>
      <c r="C407" s="322"/>
      <c r="D407" s="322"/>
    </row>
    <row r="408" spans="1:4" ht="15.75">
      <c r="A408" s="319"/>
      <c r="B408" s="333"/>
      <c r="C408" s="322"/>
      <c r="D408" s="322"/>
    </row>
    <row r="409" spans="1:4" ht="15.75">
      <c r="A409" s="319"/>
      <c r="B409" s="333"/>
      <c r="C409" s="322"/>
      <c r="D409" s="322"/>
    </row>
    <row r="410" spans="1:4" ht="15.75">
      <c r="A410" s="319"/>
      <c r="B410" s="333"/>
      <c r="C410" s="322"/>
      <c r="D410" s="322"/>
    </row>
    <row r="411" spans="1:4" ht="15.75">
      <c r="A411" s="319"/>
      <c r="B411" s="333"/>
      <c r="C411" s="322"/>
      <c r="D411" s="322"/>
    </row>
    <row r="412" spans="1:4" ht="15.75">
      <c r="A412" s="319"/>
      <c r="B412" s="333"/>
      <c r="C412" s="322"/>
      <c r="D412" s="322"/>
    </row>
    <row r="413" spans="1:4" ht="15.75">
      <c r="A413" s="319"/>
      <c r="B413" s="333"/>
      <c r="C413" s="322"/>
      <c r="D413" s="322"/>
    </row>
    <row r="414" spans="1:4" ht="15.75">
      <c r="A414" s="319"/>
      <c r="B414" s="333"/>
      <c r="C414" s="322"/>
      <c r="D414" s="322"/>
    </row>
    <row r="415" spans="1:4" ht="15.75">
      <c r="A415" s="319"/>
      <c r="B415" s="333"/>
      <c r="C415" s="322"/>
      <c r="D415" s="322"/>
    </row>
    <row r="416" spans="1:4" ht="15.75">
      <c r="A416" s="319"/>
      <c r="B416" s="333"/>
      <c r="C416" s="322"/>
      <c r="D416" s="322"/>
    </row>
    <row r="417" spans="1:4" ht="15.75">
      <c r="A417" s="319"/>
      <c r="B417" s="333"/>
      <c r="C417" s="322"/>
      <c r="D417" s="322"/>
    </row>
    <row r="418" spans="1:4" ht="15.75">
      <c r="A418" s="319"/>
      <c r="B418" s="333"/>
      <c r="C418" s="322"/>
      <c r="D418" s="322"/>
    </row>
    <row r="419" spans="1:4" ht="15.75">
      <c r="A419" s="319"/>
      <c r="B419" s="333"/>
      <c r="C419" s="322"/>
      <c r="D419" s="322"/>
    </row>
    <row r="420" spans="1:4" ht="15.75">
      <c r="A420" s="319"/>
      <c r="B420" s="333"/>
      <c r="C420" s="322"/>
      <c r="D420" s="322"/>
    </row>
    <row r="421" spans="1:4" ht="15.75">
      <c r="A421" s="319"/>
      <c r="B421" s="333"/>
      <c r="C421" s="322"/>
      <c r="D421" s="322"/>
    </row>
    <row r="422" spans="1:4" ht="15.75">
      <c r="A422" s="319"/>
      <c r="B422" s="333"/>
      <c r="C422" s="322"/>
      <c r="D422" s="322"/>
    </row>
    <row r="423" spans="1:4" ht="15.75">
      <c r="A423" s="319"/>
      <c r="B423" s="333"/>
      <c r="C423" s="322"/>
      <c r="D423" s="322"/>
    </row>
    <row r="424" spans="1:4" ht="15.75">
      <c r="A424" s="319"/>
      <c r="B424" s="333"/>
      <c r="C424" s="322"/>
      <c r="D424" s="322"/>
    </row>
    <row r="425" spans="1:4" ht="15.75">
      <c r="A425" s="319"/>
      <c r="B425" s="333"/>
      <c r="C425" s="322"/>
      <c r="D425" s="322"/>
    </row>
    <row r="426" spans="1:4" ht="15.75">
      <c r="A426" s="319"/>
      <c r="B426" s="333"/>
      <c r="C426" s="322"/>
      <c r="D426" s="322"/>
    </row>
    <row r="427" spans="1:4" ht="15.75">
      <c r="A427" s="319"/>
      <c r="B427" s="333"/>
      <c r="C427" s="322"/>
      <c r="D427" s="322"/>
    </row>
    <row r="428" spans="1:4" ht="15.75">
      <c r="A428" s="319"/>
      <c r="B428" s="333"/>
      <c r="C428" s="322"/>
      <c r="D428" s="322"/>
    </row>
    <row r="429" spans="1:4" ht="15.75">
      <c r="A429" s="319"/>
      <c r="B429" s="333"/>
      <c r="C429" s="322"/>
      <c r="D429" s="322"/>
    </row>
    <row r="430" spans="1:4" ht="15.75">
      <c r="A430" s="319"/>
      <c r="B430" s="333"/>
      <c r="C430" s="322"/>
      <c r="D430" s="322"/>
    </row>
    <row r="431" spans="1:4" ht="15.75">
      <c r="A431" s="319"/>
      <c r="B431" s="333"/>
      <c r="C431" s="322"/>
      <c r="D431" s="322"/>
    </row>
    <row r="432" spans="1:4" ht="15.75">
      <c r="A432" s="319"/>
      <c r="B432" s="333"/>
      <c r="C432" s="322"/>
      <c r="D432" s="322"/>
    </row>
    <row r="433" spans="1:4" ht="15.75">
      <c r="A433" s="319"/>
      <c r="B433" s="333"/>
      <c r="C433" s="322"/>
      <c r="D433" s="322"/>
    </row>
    <row r="434" spans="1:4" ht="15.75">
      <c r="A434" s="319"/>
      <c r="B434" s="333"/>
      <c r="C434" s="322"/>
      <c r="D434" s="322"/>
    </row>
    <row r="435" spans="1:4" ht="15.75">
      <c r="A435" s="319"/>
      <c r="B435" s="333"/>
      <c r="C435" s="322"/>
      <c r="D435" s="322"/>
    </row>
    <row r="436" spans="1:4" ht="15.75">
      <c r="A436" s="319"/>
      <c r="B436" s="333"/>
      <c r="C436" s="322"/>
      <c r="D436" s="322"/>
    </row>
    <row r="437" spans="1:4" ht="15.75">
      <c r="A437" s="319"/>
      <c r="B437" s="333"/>
      <c r="C437" s="322"/>
      <c r="D437" s="322"/>
    </row>
    <row r="438" spans="1:4" ht="15.75">
      <c r="A438" s="319"/>
      <c r="B438" s="333"/>
      <c r="C438" s="322"/>
      <c r="D438" s="322"/>
    </row>
    <row r="439" spans="1:4" ht="15.75">
      <c r="A439" s="319"/>
      <c r="B439" s="333"/>
      <c r="C439" s="322"/>
      <c r="D439" s="322"/>
    </row>
    <row r="440" spans="1:4" ht="15.75">
      <c r="A440" s="319"/>
      <c r="B440" s="333"/>
      <c r="C440" s="322"/>
      <c r="D440" s="322"/>
    </row>
    <row r="441" spans="1:4" ht="15.75">
      <c r="A441" s="319"/>
      <c r="B441" s="333"/>
      <c r="C441" s="322"/>
      <c r="D441" s="322"/>
    </row>
    <row r="442" spans="1:4" ht="15.75">
      <c r="A442" s="319"/>
      <c r="B442" s="333"/>
      <c r="C442" s="322"/>
      <c r="D442" s="322"/>
    </row>
    <row r="443" spans="1:4" ht="15.75">
      <c r="A443" s="319"/>
      <c r="B443" s="333"/>
      <c r="C443" s="322"/>
      <c r="D443" s="322"/>
    </row>
    <row r="444" spans="1:4" ht="15.75">
      <c r="A444" s="319"/>
      <c r="B444" s="333"/>
      <c r="C444" s="322"/>
      <c r="D444" s="322"/>
    </row>
    <row r="445" spans="1:4" ht="15.75">
      <c r="A445" s="319"/>
      <c r="B445" s="333"/>
      <c r="C445" s="322"/>
      <c r="D445" s="322"/>
    </row>
    <row r="446" spans="1:4" ht="15.75">
      <c r="A446" s="319"/>
      <c r="B446" s="333"/>
      <c r="C446" s="322"/>
      <c r="D446" s="322"/>
    </row>
    <row r="447" spans="1:4" ht="15.75">
      <c r="A447" s="319"/>
      <c r="B447" s="333"/>
      <c r="C447" s="322"/>
      <c r="D447" s="322"/>
    </row>
    <row r="448" spans="1:4" ht="15.75">
      <c r="A448" s="319"/>
      <c r="B448" s="333"/>
      <c r="C448" s="322"/>
      <c r="D448" s="322"/>
    </row>
    <row r="449" spans="1:4" ht="15.75">
      <c r="A449" s="319"/>
      <c r="B449" s="333"/>
      <c r="C449" s="322"/>
      <c r="D449" s="322"/>
    </row>
    <row r="450" spans="1:4" ht="15.75">
      <c r="A450" s="319"/>
      <c r="B450" s="333"/>
      <c r="C450" s="322"/>
      <c r="D450" s="322"/>
    </row>
    <row r="451" spans="1:4" ht="15.75">
      <c r="A451" s="319"/>
      <c r="B451" s="333"/>
      <c r="C451" s="322"/>
      <c r="D451" s="322"/>
    </row>
    <row r="452" spans="1:4" ht="15.75">
      <c r="A452" s="319"/>
      <c r="B452" s="333"/>
      <c r="C452" s="322"/>
      <c r="D452" s="322"/>
    </row>
    <row r="453" spans="1:4" ht="15.75">
      <c r="A453" s="319"/>
      <c r="B453" s="333"/>
      <c r="C453" s="322"/>
      <c r="D453" s="322"/>
    </row>
    <row r="454" spans="1:4" ht="15.75">
      <c r="A454" s="319"/>
      <c r="B454" s="333"/>
      <c r="C454" s="322"/>
      <c r="D454" s="322"/>
    </row>
    <row r="455" spans="1:4" ht="15.75">
      <c r="A455" s="319"/>
      <c r="B455" s="333"/>
      <c r="C455" s="322"/>
      <c r="D455" s="322"/>
    </row>
    <row r="456" spans="1:4" ht="15.75">
      <c r="A456" s="319"/>
      <c r="B456" s="333"/>
      <c r="C456" s="322"/>
      <c r="D456" s="322"/>
    </row>
    <row r="457" spans="1:4" ht="15.75">
      <c r="A457" s="319"/>
      <c r="B457" s="333"/>
      <c r="C457" s="322"/>
      <c r="D457" s="322"/>
    </row>
    <row r="458" spans="1:4" ht="15.75">
      <c r="A458" s="319"/>
      <c r="B458" s="333"/>
      <c r="C458" s="322"/>
      <c r="D458" s="322"/>
    </row>
    <row r="459" spans="1:4" ht="15.75">
      <c r="A459" s="319"/>
      <c r="B459" s="333"/>
      <c r="C459" s="322"/>
      <c r="D459" s="322"/>
    </row>
    <row r="460" spans="1:4" ht="15.75">
      <c r="A460" s="319"/>
      <c r="B460" s="333"/>
      <c r="C460" s="322"/>
      <c r="D460" s="322"/>
    </row>
    <row r="461" spans="1:4" ht="15.75">
      <c r="A461" s="319"/>
      <c r="B461" s="333"/>
      <c r="C461" s="322"/>
      <c r="D461" s="322"/>
    </row>
    <row r="462" spans="1:4" ht="15.75">
      <c r="A462" s="319"/>
      <c r="B462" s="333"/>
      <c r="C462" s="322"/>
      <c r="D462" s="322"/>
    </row>
    <row r="463" spans="1:4" ht="15.75">
      <c r="A463" s="319"/>
      <c r="B463" s="333"/>
      <c r="C463" s="322"/>
      <c r="D463" s="322"/>
    </row>
    <row r="464" spans="1:4" ht="15.75">
      <c r="A464" s="319"/>
      <c r="B464" s="333"/>
      <c r="C464" s="322"/>
      <c r="D464" s="322"/>
    </row>
    <row r="465" spans="1:4" ht="15.75">
      <c r="A465" s="319"/>
      <c r="B465" s="333"/>
      <c r="C465" s="322"/>
      <c r="D465" s="322"/>
    </row>
    <row r="466" spans="1:4" ht="15.75">
      <c r="A466" s="319"/>
      <c r="B466" s="333"/>
      <c r="C466" s="322"/>
      <c r="D466" s="322"/>
    </row>
    <row r="467" spans="1:4" ht="15.75">
      <c r="A467" s="319"/>
      <c r="B467" s="333"/>
      <c r="C467" s="322"/>
      <c r="D467" s="322"/>
    </row>
    <row r="468" spans="1:4" ht="15.75">
      <c r="A468" s="319"/>
      <c r="B468" s="333"/>
      <c r="C468" s="322"/>
      <c r="D468" s="322"/>
    </row>
    <row r="469" spans="1:4" ht="15.75">
      <c r="A469" s="319"/>
      <c r="B469" s="333"/>
      <c r="C469" s="322"/>
      <c r="D469" s="322"/>
    </row>
    <row r="470" spans="1:4" ht="15.75">
      <c r="A470" s="319"/>
      <c r="B470" s="333"/>
      <c r="C470" s="322"/>
      <c r="D470" s="322"/>
    </row>
    <row r="471" spans="1:4" ht="15.75">
      <c r="A471" s="319"/>
      <c r="B471" s="333"/>
      <c r="C471" s="322"/>
      <c r="D471" s="322"/>
    </row>
    <row r="472" spans="1:4" ht="15.75">
      <c r="A472" s="319"/>
      <c r="B472" s="333"/>
      <c r="C472" s="322"/>
      <c r="D472" s="322"/>
    </row>
    <row r="473" spans="1:4" ht="15.75">
      <c r="A473" s="319"/>
      <c r="B473" s="333"/>
      <c r="C473" s="322"/>
      <c r="D473" s="322"/>
    </row>
    <row r="474" spans="1:4" ht="15.75">
      <c r="A474" s="319"/>
      <c r="B474" s="333"/>
      <c r="C474" s="322"/>
      <c r="D474" s="322"/>
    </row>
    <row r="475" spans="1:4" ht="15.75">
      <c r="A475" s="319"/>
      <c r="B475" s="333"/>
      <c r="C475" s="322"/>
      <c r="D475" s="322"/>
    </row>
    <row r="476" spans="1:4" ht="15.75">
      <c r="A476" s="319"/>
      <c r="B476" s="333"/>
      <c r="C476" s="322"/>
      <c r="D476" s="322"/>
    </row>
    <row r="477" spans="1:4" ht="15.75">
      <c r="A477" s="319"/>
      <c r="B477" s="333"/>
      <c r="C477" s="322"/>
      <c r="D477" s="322"/>
    </row>
    <row r="478" spans="1:4" ht="15.75">
      <c r="A478" s="319"/>
      <c r="B478" s="333"/>
      <c r="C478" s="322"/>
      <c r="D478" s="322"/>
    </row>
    <row r="479" spans="1:4" ht="15.75">
      <c r="A479" s="319"/>
      <c r="B479" s="333"/>
      <c r="C479" s="322"/>
      <c r="D479" s="322"/>
    </row>
    <row r="480" spans="1:4" ht="15.75">
      <c r="A480" s="319"/>
      <c r="B480" s="333"/>
      <c r="C480" s="322"/>
      <c r="D480" s="322"/>
    </row>
    <row r="481" spans="1:4" ht="15.75">
      <c r="A481" s="319"/>
      <c r="B481" s="333"/>
      <c r="C481" s="322"/>
      <c r="D481" s="322"/>
    </row>
    <row r="482" spans="1:4" ht="15.75">
      <c r="A482" s="319"/>
      <c r="B482" s="333"/>
      <c r="C482" s="322"/>
      <c r="D482" s="322"/>
    </row>
    <row r="483" spans="1:4" ht="15.75">
      <c r="A483" s="319"/>
      <c r="B483" s="333"/>
      <c r="C483" s="322"/>
      <c r="D483" s="322"/>
    </row>
    <row r="484" spans="1:4" ht="15.75">
      <c r="A484" s="319"/>
      <c r="B484" s="333"/>
      <c r="C484" s="322"/>
      <c r="D484" s="322"/>
    </row>
    <row r="485" spans="1:4" ht="15.75">
      <c r="A485" s="319"/>
      <c r="B485" s="333"/>
      <c r="C485" s="322"/>
      <c r="D485" s="322"/>
    </row>
    <row r="486" spans="1:4" ht="15.75">
      <c r="A486" s="319"/>
      <c r="B486" s="333"/>
      <c r="C486" s="322"/>
      <c r="D486" s="322"/>
    </row>
    <row r="487" spans="1:4" ht="15.75">
      <c r="A487" s="319"/>
      <c r="B487" s="333"/>
      <c r="C487" s="322"/>
      <c r="D487" s="322"/>
    </row>
    <row r="488" spans="1:4" ht="15.75">
      <c r="A488" s="319"/>
      <c r="B488" s="333"/>
      <c r="C488" s="322"/>
      <c r="D488" s="322"/>
    </row>
    <row r="489" spans="1:4" ht="15.75">
      <c r="A489" s="319"/>
      <c r="B489" s="333"/>
      <c r="C489" s="322"/>
      <c r="D489" s="322"/>
    </row>
    <row r="490" spans="1:4" ht="15.75">
      <c r="A490" s="319"/>
      <c r="B490" s="333"/>
      <c r="C490" s="322"/>
      <c r="D490" s="322"/>
    </row>
    <row r="491" spans="1:4" ht="15.75">
      <c r="A491" s="319"/>
      <c r="B491" s="333"/>
      <c r="C491" s="322"/>
      <c r="D491" s="322"/>
    </row>
    <row r="492" spans="1:4" ht="15.75">
      <c r="A492" s="319"/>
      <c r="B492" s="333"/>
      <c r="C492" s="322"/>
      <c r="D492" s="322"/>
    </row>
    <row r="493" spans="1:4" ht="15.75">
      <c r="A493" s="319"/>
      <c r="B493" s="333"/>
      <c r="C493" s="322"/>
      <c r="D493" s="322"/>
    </row>
    <row r="494" spans="1:4" ht="15.75">
      <c r="A494" s="319"/>
      <c r="B494" s="333"/>
      <c r="C494" s="322"/>
      <c r="D494" s="322"/>
    </row>
    <row r="495" spans="1:4" ht="15.75">
      <c r="A495" s="319"/>
      <c r="B495" s="333"/>
      <c r="C495" s="322"/>
      <c r="D495" s="322"/>
    </row>
    <row r="496" spans="1:4" ht="15.75">
      <c r="A496" s="319"/>
      <c r="B496" s="333"/>
      <c r="C496" s="322"/>
      <c r="D496" s="322"/>
    </row>
    <row r="497" spans="1:4" ht="15.75">
      <c r="A497" s="319"/>
      <c r="B497" s="333"/>
      <c r="C497" s="322"/>
      <c r="D497" s="322"/>
    </row>
    <row r="498" spans="1:4" ht="15.75">
      <c r="A498" s="319"/>
      <c r="B498" s="333"/>
      <c r="C498" s="322"/>
      <c r="D498" s="322"/>
    </row>
    <row r="499" spans="1:4" ht="15.75">
      <c r="A499" s="319"/>
      <c r="B499" s="333"/>
      <c r="C499" s="322"/>
      <c r="D499" s="322"/>
    </row>
    <row r="500" spans="1:4" ht="15.75">
      <c r="A500" s="319"/>
      <c r="B500" s="333"/>
      <c r="C500" s="322"/>
      <c r="D500" s="322"/>
    </row>
    <row r="501" spans="1:4" ht="15.75">
      <c r="A501" s="319"/>
      <c r="B501" s="333"/>
      <c r="C501" s="322"/>
      <c r="D501" s="322"/>
    </row>
    <row r="502" spans="1:4" ht="15.75">
      <c r="A502" s="319"/>
      <c r="B502" s="333"/>
      <c r="C502" s="322"/>
      <c r="D502" s="322"/>
    </row>
    <row r="503" spans="1:4" ht="15.75">
      <c r="A503" s="319"/>
      <c r="B503" s="333"/>
      <c r="C503" s="322"/>
      <c r="D503" s="322"/>
    </row>
    <row r="504" spans="1:4" ht="15.75">
      <c r="A504" s="319"/>
      <c r="B504" s="333"/>
      <c r="C504" s="322"/>
      <c r="D504" s="322"/>
    </row>
    <row r="505" spans="1:4" ht="15.75">
      <c r="A505" s="319"/>
      <c r="B505" s="333"/>
      <c r="C505" s="322"/>
      <c r="D505" s="322"/>
    </row>
    <row r="506" spans="1:4" ht="15.75">
      <c r="A506" s="319"/>
      <c r="B506" s="333"/>
      <c r="C506" s="322"/>
      <c r="D506" s="322"/>
    </row>
    <row r="507" spans="1:4" ht="15.75">
      <c r="A507" s="319"/>
      <c r="B507" s="333"/>
      <c r="C507" s="322"/>
      <c r="D507" s="322"/>
    </row>
    <row r="508" spans="1:4" ht="15.75">
      <c r="A508" s="319"/>
      <c r="B508" s="333"/>
      <c r="C508" s="322"/>
      <c r="D508" s="322"/>
    </row>
    <row r="509" spans="1:4" ht="15.75">
      <c r="A509" s="319"/>
      <c r="B509" s="333"/>
      <c r="C509" s="322"/>
      <c r="D509" s="322"/>
    </row>
    <row r="510" spans="1:4" ht="15.75">
      <c r="A510" s="319"/>
      <c r="B510" s="333"/>
      <c r="C510" s="322"/>
      <c r="D510" s="322"/>
    </row>
    <row r="511" spans="1:4" ht="15.75">
      <c r="A511" s="319"/>
      <c r="B511" s="333"/>
      <c r="C511" s="322"/>
      <c r="D511" s="322"/>
    </row>
    <row r="512" spans="1:4" ht="15.75">
      <c r="A512" s="319"/>
      <c r="B512" s="333"/>
      <c r="C512" s="322"/>
      <c r="D512" s="322"/>
    </row>
    <row r="513" spans="1:4" ht="15.75">
      <c r="A513" s="319"/>
      <c r="B513" s="333"/>
      <c r="C513" s="322"/>
      <c r="D513" s="322"/>
    </row>
    <row r="514" spans="1:4" ht="15.75">
      <c r="A514" s="319"/>
      <c r="B514" s="333"/>
      <c r="C514" s="322"/>
      <c r="D514" s="322"/>
    </row>
    <row r="515" spans="1:4" ht="15.75">
      <c r="A515" s="319"/>
      <c r="B515" s="333"/>
      <c r="C515" s="322"/>
      <c r="D515" s="322"/>
    </row>
    <row r="516" spans="1:4" ht="15.75">
      <c r="A516" s="319"/>
      <c r="B516" s="333"/>
      <c r="C516" s="322"/>
      <c r="D516" s="322"/>
    </row>
    <row r="517" spans="1:4" ht="15.75">
      <c r="A517" s="319"/>
      <c r="B517" s="333"/>
      <c r="C517" s="322"/>
      <c r="D517" s="322"/>
    </row>
    <row r="518" spans="1:4" ht="15.75">
      <c r="A518" s="319"/>
      <c r="B518" s="333"/>
      <c r="C518" s="322"/>
      <c r="D518" s="322"/>
    </row>
    <row r="519" spans="1:4" ht="15.75">
      <c r="A519" s="319"/>
      <c r="B519" s="333"/>
      <c r="C519" s="322"/>
      <c r="D519" s="322"/>
    </row>
    <row r="520" spans="1:4" ht="15.75">
      <c r="A520" s="319"/>
      <c r="B520" s="333"/>
      <c r="C520" s="322"/>
      <c r="D520" s="322"/>
    </row>
    <row r="521" spans="1:4" ht="15.75">
      <c r="A521" s="319"/>
      <c r="B521" s="333"/>
      <c r="C521" s="322"/>
      <c r="D521" s="322"/>
    </row>
    <row r="522" spans="1:4" ht="15.75">
      <c r="A522" s="319"/>
      <c r="B522" s="333"/>
      <c r="C522" s="322"/>
      <c r="D522" s="322"/>
    </row>
    <row r="523" spans="1:4" ht="15.75">
      <c r="A523" s="319"/>
      <c r="B523" s="333"/>
      <c r="C523" s="322"/>
      <c r="D523" s="322"/>
    </row>
    <row r="524" spans="1:4" ht="15.75">
      <c r="A524" s="319"/>
      <c r="B524" s="333"/>
      <c r="C524" s="322"/>
      <c r="D524" s="322"/>
    </row>
    <row r="525" spans="1:4" ht="15.75">
      <c r="A525" s="319"/>
      <c r="B525" s="333"/>
      <c r="C525" s="322"/>
      <c r="D525" s="322"/>
    </row>
    <row r="526" spans="1:4" ht="15.75">
      <c r="A526" s="319"/>
      <c r="B526" s="333"/>
      <c r="C526" s="322"/>
      <c r="D526" s="322"/>
    </row>
    <row r="527" spans="1:4" ht="15.75">
      <c r="A527" s="319"/>
      <c r="B527" s="333"/>
      <c r="C527" s="322"/>
      <c r="D527" s="322"/>
    </row>
    <row r="528" spans="1:4" ht="15.75">
      <c r="A528" s="319"/>
      <c r="B528" s="333"/>
      <c r="C528" s="322"/>
      <c r="D528" s="322"/>
    </row>
    <row r="529" spans="1:4" ht="15.75">
      <c r="A529" s="319"/>
      <c r="B529" s="333"/>
      <c r="C529" s="322"/>
      <c r="D529" s="322"/>
    </row>
    <row r="530" spans="1:4" ht="15.75">
      <c r="A530" s="319"/>
      <c r="B530" s="333"/>
      <c r="C530" s="322"/>
      <c r="D530" s="322"/>
    </row>
    <row r="531" spans="1:4" ht="15.75">
      <c r="A531" s="319"/>
      <c r="B531" s="333"/>
      <c r="C531" s="322"/>
      <c r="D531" s="322"/>
    </row>
    <row r="532" spans="1:4" ht="15.75">
      <c r="A532" s="319"/>
      <c r="B532" s="333"/>
      <c r="C532" s="322"/>
      <c r="D532" s="322"/>
    </row>
    <row r="533" spans="1:4" ht="15.75">
      <c r="A533" s="319"/>
      <c r="B533" s="333"/>
      <c r="C533" s="322"/>
      <c r="D533" s="322"/>
    </row>
    <row r="534" spans="1:4" ht="15.75">
      <c r="A534" s="319"/>
      <c r="B534" s="333"/>
      <c r="C534" s="322"/>
      <c r="D534" s="322"/>
    </row>
    <row r="535" spans="1:4" ht="15.75">
      <c r="A535" s="319"/>
      <c r="B535" s="333"/>
      <c r="C535" s="322"/>
      <c r="D535" s="322"/>
    </row>
    <row r="536" spans="1:4" ht="15.75">
      <c r="A536" s="319"/>
      <c r="B536" s="333"/>
      <c r="C536" s="322"/>
      <c r="D536" s="322"/>
    </row>
    <row r="537" spans="1:4" ht="15.75">
      <c r="A537" s="319"/>
      <c r="B537" s="333"/>
      <c r="C537" s="322"/>
      <c r="D537" s="322"/>
    </row>
    <row r="538" spans="1:4" ht="15.75">
      <c r="A538" s="319"/>
      <c r="B538" s="333"/>
      <c r="C538" s="322"/>
      <c r="D538" s="322"/>
    </row>
    <row r="539" spans="1:4" ht="15.75">
      <c r="A539" s="319"/>
      <c r="B539" s="333"/>
      <c r="C539" s="322"/>
      <c r="D539" s="322"/>
    </row>
    <row r="540" spans="1:4" ht="15.75">
      <c r="A540" s="319"/>
      <c r="B540" s="333"/>
      <c r="C540" s="322"/>
      <c r="D540" s="322"/>
    </row>
    <row r="541" spans="1:4" ht="15.75">
      <c r="A541" s="319"/>
      <c r="B541" s="333"/>
      <c r="C541" s="322"/>
      <c r="D541" s="322"/>
    </row>
    <row r="542" spans="1:4" ht="15.75">
      <c r="A542" s="319"/>
      <c r="B542" s="333"/>
      <c r="C542" s="322"/>
      <c r="D542" s="322"/>
    </row>
    <row r="543" spans="1:4" ht="15.75">
      <c r="A543" s="319"/>
      <c r="B543" s="333"/>
      <c r="C543" s="322"/>
      <c r="D543" s="322"/>
    </row>
    <row r="544" spans="1:4" ht="15.75">
      <c r="A544" s="319"/>
      <c r="B544" s="333"/>
      <c r="C544" s="322"/>
      <c r="D544" s="322"/>
    </row>
    <row r="545" spans="1:4" ht="15.75">
      <c r="A545" s="319"/>
      <c r="B545" s="333"/>
      <c r="C545" s="322"/>
      <c r="D545" s="322"/>
    </row>
    <row r="546" spans="1:4" ht="15.75">
      <c r="A546" s="319"/>
      <c r="B546" s="333"/>
      <c r="C546" s="322"/>
      <c r="D546" s="322"/>
    </row>
    <row r="547" spans="1:4" ht="15.75">
      <c r="A547" s="319"/>
      <c r="B547" s="333"/>
      <c r="C547" s="322"/>
      <c r="D547" s="322"/>
    </row>
    <row r="548" spans="1:4" ht="15.75">
      <c r="A548" s="319"/>
      <c r="B548" s="333"/>
      <c r="C548" s="322"/>
      <c r="D548" s="322"/>
    </row>
    <row r="549" spans="1:4" ht="15.75">
      <c r="A549" s="319"/>
      <c r="B549" s="333"/>
      <c r="C549" s="322"/>
      <c r="D549" s="322"/>
    </row>
    <row r="550" spans="1:4" ht="15.75">
      <c r="A550" s="319"/>
      <c r="B550" s="333"/>
      <c r="C550" s="322"/>
      <c r="D550" s="322"/>
    </row>
    <row r="551" spans="1:4" ht="15.75">
      <c r="A551" s="319"/>
      <c r="B551" s="333"/>
      <c r="C551" s="322"/>
      <c r="D551" s="322"/>
    </row>
    <row r="552" spans="1:4" ht="15.75">
      <c r="A552" s="319"/>
      <c r="B552" s="333"/>
      <c r="C552" s="322"/>
      <c r="D552" s="322"/>
    </row>
    <row r="553" spans="1:4" ht="15.75">
      <c r="A553" s="319"/>
      <c r="B553" s="333"/>
      <c r="C553" s="322"/>
      <c r="D553" s="322"/>
    </row>
    <row r="554" spans="1:4" ht="15.75">
      <c r="A554" s="319"/>
      <c r="B554" s="333"/>
      <c r="C554" s="322"/>
      <c r="D554" s="322"/>
    </row>
    <row r="555" spans="1:4" ht="15.75">
      <c r="A555" s="319"/>
      <c r="B555" s="333"/>
      <c r="C555" s="322"/>
      <c r="D555" s="322"/>
    </row>
    <row r="556" spans="1:4" ht="15.75">
      <c r="A556" s="319"/>
      <c r="B556" s="333"/>
      <c r="C556" s="322"/>
      <c r="D556" s="322"/>
    </row>
    <row r="557" spans="1:4" ht="15.75">
      <c r="A557" s="319"/>
      <c r="B557" s="333"/>
      <c r="C557" s="322"/>
      <c r="D557" s="322"/>
    </row>
    <row r="558" spans="1:4" ht="15.75">
      <c r="A558" s="319"/>
      <c r="B558" s="333"/>
      <c r="C558" s="322"/>
      <c r="D558" s="322"/>
    </row>
    <row r="559" spans="1:4" ht="15.75">
      <c r="A559" s="319"/>
      <c r="B559" s="333"/>
      <c r="C559" s="322"/>
      <c r="D559" s="322"/>
    </row>
    <row r="560" spans="1:4" ht="15.75">
      <c r="A560" s="319"/>
      <c r="B560" s="333"/>
      <c r="C560" s="322"/>
      <c r="D560" s="322"/>
    </row>
    <row r="561" spans="1:4" ht="15.75">
      <c r="A561" s="319"/>
      <c r="B561" s="333"/>
      <c r="C561" s="322"/>
      <c r="D561" s="322"/>
    </row>
    <row r="562" spans="1:4" ht="15.75">
      <c r="A562" s="319"/>
      <c r="B562" s="333"/>
      <c r="C562" s="322"/>
      <c r="D562" s="322"/>
    </row>
    <row r="563" spans="1:4" ht="15.75">
      <c r="A563" s="319"/>
      <c r="B563" s="333"/>
      <c r="C563" s="322"/>
      <c r="D563" s="322"/>
    </row>
    <row r="564" spans="1:4" ht="15.75">
      <c r="A564" s="319"/>
      <c r="B564" s="333"/>
      <c r="C564" s="322"/>
      <c r="D564" s="322"/>
    </row>
    <row r="565" spans="1:4" ht="15.75">
      <c r="A565" s="319"/>
      <c r="B565" s="333"/>
      <c r="C565" s="322"/>
      <c r="D565" s="322"/>
    </row>
    <row r="566" spans="1:4" ht="15.75">
      <c r="A566" s="319"/>
      <c r="B566" s="333"/>
      <c r="C566" s="322"/>
      <c r="D566" s="322"/>
    </row>
    <row r="567" spans="1:4" ht="15.75">
      <c r="A567" s="319"/>
      <c r="B567" s="333"/>
      <c r="C567" s="322"/>
      <c r="D567" s="322"/>
    </row>
    <row r="568" spans="1:4" ht="15.75">
      <c r="A568" s="319"/>
      <c r="B568" s="333"/>
      <c r="C568" s="322"/>
      <c r="D568" s="322"/>
    </row>
    <row r="569" spans="1:4" ht="15.75">
      <c r="A569" s="319"/>
      <c r="B569" s="333"/>
      <c r="C569" s="322"/>
      <c r="D569" s="322"/>
    </row>
    <row r="570" spans="1:4" ht="15.75">
      <c r="A570" s="319"/>
      <c r="B570" s="333"/>
      <c r="C570" s="322"/>
      <c r="D570" s="322"/>
    </row>
    <row r="571" spans="1:4" ht="15.75">
      <c r="A571" s="319"/>
      <c r="B571" s="333"/>
      <c r="C571" s="322"/>
      <c r="D571" s="322"/>
    </row>
    <row r="572" spans="1:4" ht="15.75">
      <c r="A572" s="319"/>
      <c r="B572" s="333"/>
      <c r="C572" s="322"/>
      <c r="D572" s="322"/>
    </row>
    <row r="573" spans="1:4" ht="15.75">
      <c r="A573" s="319"/>
      <c r="B573" s="333"/>
      <c r="C573" s="322"/>
      <c r="D573" s="322"/>
    </row>
    <row r="574" spans="1:4" ht="15.75">
      <c r="A574" s="319"/>
      <c r="B574" s="333"/>
      <c r="C574" s="322"/>
      <c r="D574" s="322"/>
    </row>
    <row r="575" spans="1:4" ht="15.75">
      <c r="A575" s="319"/>
      <c r="B575" s="333"/>
      <c r="C575" s="322"/>
      <c r="D575" s="322"/>
    </row>
    <row r="576" spans="1:4" ht="15.75">
      <c r="A576" s="319"/>
      <c r="B576" s="333"/>
      <c r="C576" s="322"/>
      <c r="D576" s="322"/>
    </row>
    <row r="577" spans="1:4" ht="15.75">
      <c r="A577" s="319"/>
      <c r="B577" s="333"/>
      <c r="C577" s="322"/>
      <c r="D577" s="322"/>
    </row>
    <row r="578" spans="1:4" ht="15.75">
      <c r="A578" s="319"/>
      <c r="B578" s="333"/>
      <c r="C578" s="322"/>
      <c r="D578" s="322"/>
    </row>
    <row r="579" spans="1:4" ht="15.75">
      <c r="A579" s="319"/>
      <c r="B579" s="333"/>
      <c r="C579" s="322"/>
      <c r="D579" s="322"/>
    </row>
    <row r="580" spans="1:4" ht="15.75">
      <c r="A580" s="319"/>
      <c r="B580" s="333"/>
      <c r="C580" s="322"/>
      <c r="D580" s="322"/>
    </row>
    <row r="581" spans="1:4" ht="15.75">
      <c r="A581" s="319"/>
      <c r="B581" s="333"/>
      <c r="C581" s="322"/>
      <c r="D581" s="322"/>
    </row>
    <row r="582" spans="1:4" ht="15.75">
      <c r="A582" s="319"/>
      <c r="B582" s="333"/>
      <c r="C582" s="322"/>
      <c r="D582" s="322"/>
    </row>
    <row r="583" spans="1:4" ht="15.75">
      <c r="A583" s="319"/>
      <c r="B583" s="333"/>
      <c r="C583" s="322"/>
      <c r="D583" s="322"/>
    </row>
    <row r="584" spans="1:4" ht="15.75">
      <c r="A584" s="319"/>
      <c r="B584" s="333"/>
      <c r="C584" s="322"/>
      <c r="D584" s="322"/>
    </row>
    <row r="585" spans="1:4" ht="15.75">
      <c r="A585" s="319"/>
      <c r="B585" s="333"/>
      <c r="C585" s="322"/>
      <c r="D585" s="322"/>
    </row>
    <row r="586" spans="1:4" ht="15.75">
      <c r="A586" s="319"/>
      <c r="B586" s="333"/>
      <c r="C586" s="322"/>
      <c r="D586" s="322"/>
    </row>
    <row r="587" spans="1:4" ht="15.75">
      <c r="A587" s="319"/>
      <c r="B587" s="333"/>
      <c r="C587" s="322"/>
      <c r="D587" s="322"/>
    </row>
    <row r="588" spans="1:4" ht="15.75">
      <c r="A588" s="319"/>
      <c r="B588" s="333"/>
      <c r="C588" s="322"/>
      <c r="D588" s="322"/>
    </row>
    <row r="589" spans="1:4" ht="15.75">
      <c r="A589" s="319"/>
      <c r="B589" s="333"/>
      <c r="C589" s="322"/>
      <c r="D589" s="322"/>
    </row>
    <row r="590" spans="1:4" ht="15.75">
      <c r="A590" s="319"/>
      <c r="B590" s="333"/>
      <c r="C590" s="322"/>
      <c r="D590" s="322"/>
    </row>
    <row r="591" spans="1:4" ht="15.75">
      <c r="A591" s="319"/>
      <c r="B591" s="333"/>
      <c r="C591" s="322"/>
      <c r="D591" s="322"/>
    </row>
    <row r="592" spans="1:4" ht="15.75">
      <c r="A592" s="319"/>
      <c r="B592" s="333"/>
      <c r="C592" s="322"/>
      <c r="D592" s="322"/>
    </row>
    <row r="593" spans="1:4" ht="15.75">
      <c r="A593" s="319"/>
      <c r="B593" s="333"/>
      <c r="C593" s="322"/>
      <c r="D593" s="322"/>
    </row>
    <row r="594" spans="1:4" ht="15.75">
      <c r="A594" s="319"/>
      <c r="B594" s="333"/>
      <c r="C594" s="322"/>
      <c r="D594" s="322"/>
    </row>
    <row r="595" spans="1:4" ht="15.75">
      <c r="A595" s="319"/>
      <c r="B595" s="333"/>
      <c r="C595" s="322"/>
      <c r="D595" s="322"/>
    </row>
    <row r="596" spans="1:4" ht="15.75">
      <c r="A596" s="319"/>
      <c r="B596" s="333"/>
      <c r="C596" s="322"/>
      <c r="D596" s="322"/>
    </row>
    <row r="597" spans="1:4" ht="15.75">
      <c r="A597" s="319"/>
      <c r="B597" s="333"/>
      <c r="C597" s="322"/>
      <c r="D597" s="322"/>
    </row>
    <row r="598" spans="1:4" ht="15.75">
      <c r="A598" s="319"/>
      <c r="B598" s="333"/>
      <c r="C598" s="322"/>
      <c r="D598" s="322"/>
    </row>
    <row r="599" spans="1:4" ht="15.75">
      <c r="A599" s="319"/>
      <c r="B599" s="333"/>
      <c r="C599" s="322"/>
      <c r="D599" s="322"/>
    </row>
    <row r="600" spans="1:4" ht="15.75">
      <c r="A600" s="319"/>
      <c r="B600" s="333"/>
      <c r="C600" s="322"/>
      <c r="D600" s="322"/>
    </row>
    <row r="601" spans="1:4" ht="15.75">
      <c r="A601" s="319"/>
      <c r="B601" s="333"/>
      <c r="C601" s="322"/>
      <c r="D601" s="322"/>
    </row>
    <row r="602" spans="1:4" ht="15.75">
      <c r="A602" s="319"/>
      <c r="B602" s="333"/>
      <c r="C602" s="322"/>
      <c r="D602" s="322"/>
    </row>
    <row r="603" spans="1:4" ht="15.75">
      <c r="A603" s="319"/>
      <c r="B603" s="333"/>
      <c r="C603" s="322"/>
      <c r="D603" s="322"/>
    </row>
    <row r="604" spans="1:4" ht="15.75">
      <c r="A604" s="319"/>
      <c r="B604" s="333"/>
      <c r="C604" s="322"/>
      <c r="D604" s="322"/>
    </row>
    <row r="605" spans="1:4" ht="15.75">
      <c r="A605" s="319"/>
      <c r="B605" s="333"/>
      <c r="C605" s="322"/>
      <c r="D605" s="322"/>
    </row>
    <row r="606" spans="1:4" ht="15.75">
      <c r="A606" s="319"/>
      <c r="B606" s="333"/>
      <c r="C606" s="322"/>
      <c r="D606" s="322"/>
    </row>
    <row r="607" spans="1:4" ht="15.75">
      <c r="A607" s="319"/>
      <c r="B607" s="333"/>
      <c r="C607" s="322"/>
      <c r="D607" s="322"/>
    </row>
    <row r="608" spans="1:4" ht="15.75">
      <c r="A608" s="319"/>
      <c r="B608" s="333"/>
      <c r="C608" s="322"/>
      <c r="D608" s="322"/>
    </row>
    <row r="609" spans="1:4" ht="15.75">
      <c r="A609" s="319"/>
      <c r="B609" s="333"/>
      <c r="C609" s="322"/>
      <c r="D609" s="322"/>
    </row>
    <row r="610" spans="1:4" ht="15.75">
      <c r="A610" s="319"/>
      <c r="B610" s="333"/>
      <c r="C610" s="322"/>
      <c r="D610" s="322"/>
    </row>
    <row r="611" spans="1:4" ht="15.75">
      <c r="A611" s="319"/>
      <c r="B611" s="333"/>
      <c r="C611" s="322"/>
      <c r="D611" s="322"/>
    </row>
    <row r="612" spans="1:4" ht="15.75">
      <c r="A612" s="319"/>
      <c r="B612" s="333"/>
      <c r="C612" s="322"/>
      <c r="D612" s="322"/>
    </row>
    <row r="613" spans="1:4" ht="15.75">
      <c r="A613" s="319"/>
      <c r="B613" s="333"/>
      <c r="C613" s="322"/>
      <c r="D613" s="322"/>
    </row>
    <row r="614" spans="1:4" ht="15.75">
      <c r="A614" s="319"/>
      <c r="B614" s="333"/>
      <c r="C614" s="322"/>
      <c r="D614" s="322"/>
    </row>
    <row r="615" spans="1:4" ht="15.75">
      <c r="A615" s="319"/>
      <c r="B615" s="333"/>
      <c r="C615" s="322"/>
      <c r="D615" s="322"/>
    </row>
    <row r="616" spans="1:4" ht="15.75">
      <c r="A616" s="319"/>
      <c r="B616" s="333"/>
      <c r="C616" s="322"/>
      <c r="D616" s="322"/>
    </row>
    <row r="617" spans="1:4" ht="15.75">
      <c r="A617" s="319"/>
      <c r="B617" s="333"/>
      <c r="C617" s="322"/>
      <c r="D617" s="322"/>
    </row>
    <row r="618" spans="1:4" ht="15.75">
      <c r="A618" s="319"/>
      <c r="B618" s="333"/>
      <c r="C618" s="322"/>
      <c r="D618" s="322"/>
    </row>
    <row r="619" spans="1:4" ht="15.75">
      <c r="A619" s="319"/>
      <c r="B619" s="333"/>
      <c r="C619" s="322"/>
      <c r="D619" s="322"/>
    </row>
    <row r="620" spans="1:4" ht="15.75">
      <c r="A620" s="319"/>
      <c r="B620" s="333"/>
      <c r="C620" s="322"/>
      <c r="D620" s="322"/>
    </row>
    <row r="621" spans="1:4" ht="15.75">
      <c r="A621" s="319"/>
      <c r="B621" s="333"/>
      <c r="C621" s="322"/>
      <c r="D621" s="322"/>
    </row>
    <row r="622" spans="1:4" ht="15.75">
      <c r="A622" s="319"/>
      <c r="B622" s="333"/>
      <c r="C622" s="322"/>
      <c r="D622" s="322"/>
    </row>
    <row r="623" spans="1:4" ht="15.75">
      <c r="A623" s="319"/>
      <c r="B623" s="333"/>
      <c r="C623" s="322"/>
      <c r="D623" s="322"/>
    </row>
    <row r="624" spans="1:4" ht="15.75">
      <c r="A624" s="319"/>
      <c r="B624" s="333"/>
      <c r="C624" s="322"/>
      <c r="D624" s="322"/>
    </row>
    <row r="625" spans="1:4" ht="15.75">
      <c r="A625" s="319"/>
      <c r="B625" s="333"/>
      <c r="C625" s="322"/>
      <c r="D625" s="322"/>
    </row>
    <row r="626" spans="1:4" ht="15.75">
      <c r="A626" s="319"/>
      <c r="B626" s="333"/>
      <c r="C626" s="322"/>
      <c r="D626" s="322"/>
    </row>
    <row r="627" spans="1:4" ht="15.75">
      <c r="A627" s="319"/>
      <c r="B627" s="333"/>
      <c r="C627" s="322"/>
      <c r="D627" s="322"/>
    </row>
    <row r="628" spans="1:4" ht="15.75">
      <c r="A628" s="319"/>
      <c r="B628" s="333"/>
      <c r="C628" s="322"/>
      <c r="D628" s="322"/>
    </row>
    <row r="629" spans="1:4" ht="15.75">
      <c r="A629" s="319"/>
      <c r="B629" s="333"/>
      <c r="C629" s="322"/>
      <c r="D629" s="322"/>
    </row>
    <row r="630" spans="1:4" ht="15.75">
      <c r="A630" s="319"/>
      <c r="B630" s="333"/>
      <c r="C630" s="322"/>
      <c r="D630" s="322"/>
    </row>
    <row r="631" spans="1:4" ht="15.75">
      <c r="A631" s="319"/>
      <c r="B631" s="333"/>
      <c r="C631" s="322"/>
      <c r="D631" s="322"/>
    </row>
    <row r="632" spans="1:4" ht="15.75">
      <c r="A632" s="319"/>
      <c r="B632" s="333"/>
      <c r="C632" s="322"/>
      <c r="D632" s="322"/>
    </row>
    <row r="633" spans="1:4" ht="15.75">
      <c r="A633" s="319"/>
      <c r="B633" s="333"/>
      <c r="C633" s="322"/>
      <c r="D633" s="322"/>
    </row>
    <row r="634" spans="1:4" ht="15.75">
      <c r="A634" s="319"/>
      <c r="B634" s="333"/>
      <c r="C634" s="322"/>
      <c r="D634" s="322"/>
    </row>
    <row r="635" spans="1:4" ht="15.75">
      <c r="A635" s="319"/>
      <c r="B635" s="333"/>
      <c r="C635" s="322"/>
      <c r="D635" s="322"/>
    </row>
    <row r="636" spans="1:4" ht="15.75">
      <c r="A636" s="319"/>
      <c r="B636" s="333"/>
      <c r="C636" s="322"/>
      <c r="D636" s="322"/>
    </row>
    <row r="637" spans="1:4" ht="15.75">
      <c r="A637" s="319"/>
      <c r="B637" s="333"/>
      <c r="C637" s="322"/>
      <c r="D637" s="322"/>
    </row>
    <row r="638" spans="1:4" ht="15.75">
      <c r="A638" s="319"/>
      <c r="B638" s="333"/>
      <c r="C638" s="322"/>
      <c r="D638" s="322"/>
    </row>
    <row r="639" spans="1:4" ht="15.75">
      <c r="A639" s="319"/>
      <c r="B639" s="333"/>
      <c r="C639" s="322"/>
      <c r="D639" s="322"/>
    </row>
    <row r="640" spans="1:4" ht="15.75">
      <c r="A640" s="319"/>
      <c r="B640" s="333"/>
      <c r="C640" s="322"/>
      <c r="D640" s="322"/>
    </row>
    <row r="641" spans="1:4" ht="15.75">
      <c r="A641" s="319"/>
      <c r="B641" s="333"/>
      <c r="C641" s="322"/>
      <c r="D641" s="322"/>
    </row>
    <row r="642" spans="1:4" ht="15.75">
      <c r="A642" s="319"/>
      <c r="B642" s="333"/>
      <c r="C642" s="322"/>
      <c r="D642" s="322"/>
    </row>
    <row r="643" spans="1:4" ht="15.75">
      <c r="A643" s="319"/>
      <c r="B643" s="333"/>
      <c r="C643" s="322"/>
      <c r="D643" s="322"/>
    </row>
    <row r="644" spans="1:4" ht="15.75">
      <c r="A644" s="319"/>
      <c r="B644" s="333"/>
      <c r="C644" s="322"/>
      <c r="D644" s="322"/>
    </row>
    <row r="645" spans="1:4" ht="15.75">
      <c r="A645" s="319"/>
      <c r="B645" s="333"/>
      <c r="C645" s="322"/>
      <c r="D645" s="322"/>
    </row>
    <row r="646" spans="1:4" ht="15.75">
      <c r="A646" s="319"/>
      <c r="B646" s="333"/>
      <c r="C646" s="322"/>
      <c r="D646" s="322"/>
    </row>
    <row r="647" spans="1:4" ht="15.75">
      <c r="A647" s="319"/>
      <c r="B647" s="333"/>
      <c r="C647" s="322"/>
      <c r="D647" s="322"/>
    </row>
    <row r="648" spans="1:4" ht="15.75">
      <c r="A648" s="319"/>
      <c r="B648" s="333"/>
      <c r="C648" s="322"/>
      <c r="D648" s="322"/>
    </row>
    <row r="649" spans="1:4" ht="15.75">
      <c r="A649" s="319"/>
      <c r="B649" s="333"/>
      <c r="C649" s="322"/>
      <c r="D649" s="322"/>
    </row>
    <row r="650" spans="1:4" ht="15.75">
      <c r="A650" s="319"/>
      <c r="B650" s="333"/>
      <c r="C650" s="322"/>
      <c r="D650" s="322"/>
    </row>
    <row r="651" spans="1:4" ht="15.75">
      <c r="A651" s="319"/>
      <c r="B651" s="333"/>
      <c r="C651" s="322"/>
      <c r="D651" s="322"/>
    </row>
    <row r="652" spans="1:4" ht="15.75">
      <c r="A652" s="319"/>
      <c r="B652" s="333"/>
      <c r="C652" s="322"/>
      <c r="D652" s="322"/>
    </row>
    <row r="653" spans="1:4" ht="15.75">
      <c r="A653" s="319"/>
      <c r="B653" s="333"/>
      <c r="C653" s="322"/>
      <c r="D653" s="322"/>
    </row>
    <row r="654" spans="1:4" ht="15.75">
      <c r="A654" s="319"/>
      <c r="B654" s="333"/>
      <c r="C654" s="322"/>
      <c r="D654" s="322"/>
    </row>
    <row r="655" spans="1:4" ht="15.75">
      <c r="A655" s="319"/>
      <c r="B655" s="333"/>
      <c r="C655" s="322"/>
      <c r="D655" s="322"/>
    </row>
    <row r="656" spans="1:4" ht="15.75">
      <c r="A656" s="319"/>
      <c r="B656" s="333"/>
      <c r="C656" s="322"/>
      <c r="D656" s="322"/>
    </row>
    <row r="657" spans="1:4" ht="15.75">
      <c r="A657" s="319"/>
      <c r="B657" s="333"/>
      <c r="C657" s="322"/>
      <c r="D657" s="322"/>
    </row>
    <row r="658" spans="1:4" ht="15.75">
      <c r="A658" s="319"/>
      <c r="B658" s="333"/>
      <c r="C658" s="322"/>
      <c r="D658" s="322"/>
    </row>
    <row r="659" spans="1:4" ht="15.75">
      <c r="A659" s="319"/>
      <c r="B659" s="333"/>
      <c r="C659" s="322"/>
      <c r="D659" s="322"/>
    </row>
    <row r="660" spans="1:4" ht="15.75">
      <c r="A660" s="319"/>
      <c r="B660" s="333"/>
      <c r="C660" s="322"/>
      <c r="D660" s="322"/>
    </row>
    <row r="661" spans="1:4" ht="15.75">
      <c r="A661" s="319"/>
      <c r="B661" s="333"/>
      <c r="C661" s="322"/>
      <c r="D661" s="322"/>
    </row>
    <row r="662" spans="1:4" ht="15.75">
      <c r="A662" s="319"/>
      <c r="B662" s="333"/>
      <c r="C662" s="322"/>
      <c r="D662" s="322"/>
    </row>
    <row r="663" spans="1:4" ht="15.75">
      <c r="A663" s="319"/>
      <c r="B663" s="333"/>
      <c r="C663" s="322"/>
      <c r="D663" s="322"/>
    </row>
    <row r="664" spans="1:4" ht="15.75">
      <c r="A664" s="319"/>
      <c r="B664" s="333"/>
      <c r="C664" s="322"/>
      <c r="D664" s="322"/>
    </row>
    <row r="665" spans="1:4" ht="15.75">
      <c r="A665" s="319"/>
      <c r="B665" s="333"/>
      <c r="C665" s="322"/>
      <c r="D665" s="322"/>
    </row>
    <row r="666" spans="1:4" ht="15.75">
      <c r="A666" s="319"/>
      <c r="B666" s="333"/>
      <c r="C666" s="322"/>
      <c r="D666" s="322"/>
    </row>
    <row r="667" spans="1:4" ht="15.75">
      <c r="A667" s="319"/>
      <c r="B667" s="333"/>
      <c r="C667" s="322"/>
      <c r="D667" s="322"/>
    </row>
    <row r="668" spans="1:4" ht="15.75">
      <c r="A668" s="319"/>
      <c r="B668" s="333"/>
      <c r="C668" s="322"/>
      <c r="D668" s="322"/>
    </row>
    <row r="669" spans="1:4" ht="15.75">
      <c r="A669" s="319"/>
      <c r="B669" s="333"/>
      <c r="C669" s="322"/>
      <c r="D669" s="322"/>
    </row>
    <row r="670" spans="1:4" ht="15.75">
      <c r="A670" s="319"/>
      <c r="B670" s="333"/>
      <c r="C670" s="322"/>
      <c r="D670" s="322"/>
    </row>
    <row r="671" spans="1:4" ht="15.75">
      <c r="A671" s="319"/>
      <c r="B671" s="333"/>
      <c r="C671" s="322"/>
      <c r="D671" s="322"/>
    </row>
    <row r="672" spans="1:4" ht="15.75">
      <c r="A672" s="319"/>
      <c r="B672" s="333"/>
      <c r="C672" s="322"/>
      <c r="D672" s="322"/>
    </row>
    <row r="673" spans="1:4" ht="15.75">
      <c r="A673" s="319"/>
      <c r="B673" s="333"/>
      <c r="C673" s="322"/>
      <c r="D673" s="322"/>
    </row>
    <row r="674" spans="1:4" ht="15.75">
      <c r="A674" s="319"/>
      <c r="B674" s="333"/>
      <c r="C674" s="322"/>
      <c r="D674" s="322"/>
    </row>
    <row r="675" spans="1:4" ht="15.75">
      <c r="A675" s="319"/>
      <c r="B675" s="333"/>
      <c r="C675" s="322"/>
      <c r="D675" s="322"/>
    </row>
    <row r="676" spans="1:4" ht="15.75">
      <c r="A676" s="319"/>
      <c r="B676" s="333"/>
      <c r="C676" s="322"/>
      <c r="D676" s="322"/>
    </row>
    <row r="677" spans="1:4" ht="15.75">
      <c r="A677" s="319"/>
      <c r="B677" s="333"/>
      <c r="C677" s="322"/>
      <c r="D677" s="322"/>
    </row>
    <row r="678" spans="1:4" ht="15.75">
      <c r="A678" s="319"/>
      <c r="B678" s="333"/>
      <c r="C678" s="322"/>
      <c r="D678" s="322"/>
    </row>
    <row r="679" spans="1:4" ht="15.75">
      <c r="A679" s="319"/>
      <c r="B679" s="333"/>
      <c r="C679" s="322"/>
      <c r="D679" s="322"/>
    </row>
    <row r="680" spans="1:4" ht="15.75">
      <c r="A680" s="319"/>
      <c r="B680" s="333"/>
      <c r="C680" s="322"/>
      <c r="D680" s="322"/>
    </row>
    <row r="681" spans="1:4" ht="15.75">
      <c r="A681" s="319"/>
      <c r="B681" s="333"/>
      <c r="C681" s="322"/>
      <c r="D681" s="322"/>
    </row>
    <row r="682" spans="1:4" ht="15.75">
      <c r="A682" s="319"/>
      <c r="B682" s="333"/>
      <c r="C682" s="322"/>
      <c r="D682" s="322"/>
    </row>
    <row r="683" spans="1:4" ht="15.75">
      <c r="A683" s="319"/>
      <c r="B683" s="333"/>
      <c r="C683" s="322"/>
      <c r="D683" s="322"/>
    </row>
    <row r="684" spans="1:4" ht="15.75">
      <c r="A684" s="319"/>
      <c r="B684" s="333"/>
      <c r="C684" s="322"/>
      <c r="D684" s="322"/>
    </row>
    <row r="685" spans="1:4" ht="15.75">
      <c r="A685" s="319"/>
      <c r="B685" s="333"/>
      <c r="C685" s="322"/>
      <c r="D685" s="322"/>
    </row>
    <row r="686" spans="1:4" ht="15.75">
      <c r="A686" s="319"/>
      <c r="B686" s="333"/>
      <c r="C686" s="322"/>
      <c r="D686" s="322"/>
    </row>
    <row r="687" spans="1:4" ht="15.75">
      <c r="A687" s="319"/>
      <c r="B687" s="333"/>
      <c r="C687" s="322"/>
      <c r="D687" s="322"/>
    </row>
    <row r="688" spans="1:4" ht="15.75">
      <c r="A688" s="319"/>
      <c r="B688" s="333"/>
      <c r="C688" s="322"/>
      <c r="D688" s="322"/>
    </row>
    <row r="689" spans="1:4" ht="15.75">
      <c r="A689" s="319"/>
      <c r="B689" s="333"/>
      <c r="C689" s="322"/>
      <c r="D689" s="322"/>
    </row>
    <row r="690" spans="1:4" ht="15.75">
      <c r="A690" s="319"/>
      <c r="B690" s="333"/>
      <c r="C690" s="322"/>
      <c r="D690" s="322"/>
    </row>
    <row r="691" spans="1:4" ht="15.75">
      <c r="A691" s="319"/>
      <c r="B691" s="333"/>
      <c r="C691" s="322"/>
      <c r="D691" s="322"/>
    </row>
    <row r="692" spans="1:4" ht="15.75">
      <c r="A692" s="319"/>
      <c r="B692" s="333"/>
      <c r="C692" s="322"/>
      <c r="D692" s="322"/>
    </row>
    <row r="693" spans="1:4" ht="15.75">
      <c r="A693" s="319"/>
      <c r="B693" s="333"/>
      <c r="C693" s="322"/>
      <c r="D693" s="322"/>
    </row>
    <row r="694" spans="1:4" ht="15.75">
      <c r="A694" s="319"/>
      <c r="B694" s="333"/>
      <c r="C694" s="322"/>
      <c r="D694" s="322"/>
    </row>
    <row r="695" spans="1:4" ht="15.75">
      <c r="A695" s="319"/>
      <c r="B695" s="333"/>
      <c r="C695" s="322"/>
      <c r="D695" s="322"/>
    </row>
    <row r="696" spans="1:4" ht="15.75">
      <c r="A696" s="319"/>
      <c r="B696" s="333"/>
      <c r="C696" s="322"/>
      <c r="D696" s="322"/>
    </row>
    <row r="697" spans="1:4" ht="15.75">
      <c r="A697" s="319"/>
      <c r="B697" s="333"/>
      <c r="C697" s="322"/>
      <c r="D697" s="322"/>
    </row>
    <row r="698" spans="1:4" ht="15.75">
      <c r="A698" s="319"/>
      <c r="B698" s="333"/>
      <c r="C698" s="322"/>
      <c r="D698" s="322"/>
    </row>
    <row r="699" spans="1:4" ht="15.75">
      <c r="A699" s="319"/>
      <c r="B699" s="333"/>
      <c r="C699" s="322"/>
      <c r="D699" s="322"/>
    </row>
    <row r="700" spans="1:4" ht="15.75">
      <c r="A700" s="319"/>
      <c r="B700" s="333"/>
      <c r="C700" s="322"/>
      <c r="D700" s="322"/>
    </row>
    <row r="701" spans="1:4" ht="15.75">
      <c r="A701" s="319"/>
      <c r="B701" s="333"/>
      <c r="C701" s="322"/>
      <c r="D701" s="322"/>
    </row>
    <row r="702" spans="1:4" ht="15.75">
      <c r="A702" s="319"/>
      <c r="B702" s="333"/>
      <c r="C702" s="322"/>
      <c r="D702" s="322"/>
    </row>
    <row r="703" spans="1:4" ht="15.75">
      <c r="A703" s="319"/>
      <c r="B703" s="333"/>
      <c r="C703" s="322"/>
      <c r="D703" s="322"/>
    </row>
    <row r="704" spans="1:4" ht="15.75">
      <c r="A704" s="319"/>
      <c r="B704" s="333"/>
      <c r="C704" s="322"/>
      <c r="D704" s="322"/>
    </row>
    <row r="705" spans="1:4" ht="15.75">
      <c r="A705" s="319"/>
      <c r="B705" s="333"/>
      <c r="C705" s="322"/>
      <c r="D705" s="322"/>
    </row>
    <row r="706" spans="1:4" ht="15.75">
      <c r="A706" s="319"/>
      <c r="B706" s="333"/>
      <c r="C706" s="322"/>
      <c r="D706" s="322"/>
    </row>
    <row r="707" spans="1:4" ht="15.75">
      <c r="A707" s="319"/>
      <c r="B707" s="333"/>
      <c r="C707" s="322"/>
      <c r="D707" s="322"/>
    </row>
    <row r="708" spans="1:4" ht="15.75">
      <c r="A708" s="319"/>
      <c r="B708" s="333"/>
      <c r="C708" s="322"/>
      <c r="D708" s="322"/>
    </row>
    <row r="709" spans="1:4" ht="15.75">
      <c r="A709" s="319"/>
      <c r="B709" s="333"/>
      <c r="C709" s="322"/>
      <c r="D709" s="322"/>
    </row>
  </sheetData>
  <sheetProtection/>
  <autoFilter ref="A9:S132"/>
  <mergeCells count="14">
    <mergeCell ref="D7:D8"/>
    <mergeCell ref="E7:E8"/>
    <mergeCell ref="F7:F8"/>
    <mergeCell ref="H7:I7"/>
    <mergeCell ref="J7:K7"/>
    <mergeCell ref="L7:M7"/>
    <mergeCell ref="N7:N8"/>
    <mergeCell ref="H145:J145"/>
    <mergeCell ref="A1:N1"/>
    <mergeCell ref="A3:N3"/>
    <mergeCell ref="A5:N5"/>
    <mergeCell ref="A7:A8"/>
    <mergeCell ref="B7:B8"/>
    <mergeCell ref="C7:C8"/>
  </mergeCells>
  <printOptions horizontalCentered="1"/>
  <pageMargins left="0.11811023622047245" right="0.11811023622047245" top="0.3937007874015748" bottom="0.3937007874015748" header="0.4330708661417323" footer="0.1968503937007874"/>
  <pageSetup cellComments="asDisplayed" firstPageNumber="1" useFirstPageNumber="1" horizontalDpi="600" verticalDpi="600" orientation="landscape" paperSize="9" scale="87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615"/>
  <sheetViews>
    <sheetView zoomScaleSheetLayoutView="40" zoomScalePageLayoutView="0" workbookViewId="0" topLeftCell="A1">
      <selection activeCell="G9" sqref="G9"/>
    </sheetView>
  </sheetViews>
  <sheetFormatPr defaultColWidth="9.140625" defaultRowHeight="12.75"/>
  <cols>
    <col min="1" max="1" width="3.8515625" style="313" customWidth="1"/>
    <col min="2" max="2" width="10.57421875" style="341" hidden="1" customWidth="1"/>
    <col min="3" max="3" width="54.7109375" style="319" customWidth="1"/>
    <col min="4" max="4" width="7.8515625" style="319" customWidth="1"/>
    <col min="5" max="5" width="8.7109375" style="333" customWidth="1"/>
    <col min="6" max="7" width="9.28125" style="292" customWidth="1"/>
    <col min="8" max="8" width="9.421875" style="318" customWidth="1"/>
    <col min="9" max="9" width="11.57421875" style="318" bestFit="1" customWidth="1"/>
    <col min="10" max="10" width="8.7109375" style="321" customWidth="1"/>
    <col min="11" max="11" width="12.00390625" style="318" customWidth="1"/>
    <col min="12" max="12" width="7.8515625" style="321" customWidth="1"/>
    <col min="13" max="13" width="9.7109375" style="318" customWidth="1"/>
    <col min="14" max="14" width="11.7109375" style="318" bestFit="1" customWidth="1"/>
    <col min="15" max="15" width="19.8515625" style="319" customWidth="1"/>
    <col min="16" max="16" width="12.8515625" style="319" customWidth="1"/>
    <col min="17" max="17" width="31.421875" style="319" customWidth="1"/>
    <col min="18" max="16384" width="9.140625" style="319" customWidth="1"/>
  </cols>
  <sheetData>
    <row r="1" spans="1:14" s="255" customFormat="1" ht="42" customHeight="1">
      <c r="A1" s="686" t="str">
        <f>კრებსიტი!A1</f>
        <v>საბავშვო ბაღის აშენების პროექტი სოფელ იორმუღანლოში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</row>
    <row r="2" spans="1:14" s="255" customFormat="1" ht="9" customHeight="1">
      <c r="A2" s="256"/>
      <c r="B2" s="334"/>
      <c r="C2" s="257"/>
      <c r="D2" s="256"/>
      <c r="E2" s="323"/>
      <c r="F2" s="257"/>
      <c r="G2" s="257"/>
      <c r="H2" s="257"/>
      <c r="I2" s="257"/>
      <c r="J2" s="257"/>
      <c r="K2" s="257"/>
      <c r="L2" s="257"/>
      <c r="M2" s="257"/>
      <c r="N2" s="257"/>
    </row>
    <row r="3" spans="1:14" s="266" customFormat="1" ht="19.5" customHeight="1">
      <c r="A3" s="681" t="s">
        <v>353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</row>
    <row r="4" spans="1:14" s="266" customFormat="1" ht="9" customHeight="1">
      <c r="A4" s="267"/>
      <c r="B4" s="324"/>
      <c r="C4" s="268"/>
      <c r="D4" s="267"/>
      <c r="E4" s="324"/>
      <c r="F4" s="268"/>
      <c r="G4" s="268"/>
      <c r="H4" s="268"/>
      <c r="I4" s="268"/>
      <c r="J4" s="268"/>
      <c r="K4" s="268"/>
      <c r="L4" s="268"/>
      <c r="M4" s="268"/>
      <c r="N4" s="268"/>
    </row>
    <row r="5" spans="1:14" s="269" customFormat="1" ht="18.75" customHeight="1">
      <c r="A5" s="682" t="s">
        <v>166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</row>
    <row r="6" spans="1:14" s="266" customFormat="1" ht="14.25" customHeight="1" thickBot="1">
      <c r="A6" s="270"/>
      <c r="B6" s="325"/>
      <c r="C6" s="271"/>
      <c r="D6" s="270"/>
      <c r="E6" s="325"/>
      <c r="F6" s="272"/>
      <c r="G6" s="272"/>
      <c r="H6" s="272"/>
      <c r="I6" s="272"/>
      <c r="J6" s="273"/>
      <c r="K6" s="272"/>
      <c r="L6" s="273"/>
      <c r="M6" s="272"/>
      <c r="N6" s="272"/>
    </row>
    <row r="7" spans="1:14" s="258" customFormat="1" ht="36" customHeight="1" thickBot="1" thickTop="1">
      <c r="A7" s="687" t="s">
        <v>0</v>
      </c>
      <c r="B7" s="688" t="s">
        <v>49</v>
      </c>
      <c r="C7" s="685" t="s">
        <v>50</v>
      </c>
      <c r="D7" s="687" t="s">
        <v>51</v>
      </c>
      <c r="E7" s="688" t="s">
        <v>52</v>
      </c>
      <c r="F7" s="689" t="s">
        <v>53</v>
      </c>
      <c r="G7" s="635" t="s">
        <v>853</v>
      </c>
      <c r="H7" s="685" t="s">
        <v>54</v>
      </c>
      <c r="I7" s="685"/>
      <c r="J7" s="685" t="s">
        <v>55</v>
      </c>
      <c r="K7" s="685"/>
      <c r="L7" s="685" t="s">
        <v>56</v>
      </c>
      <c r="M7" s="685"/>
      <c r="N7" s="685" t="s">
        <v>57</v>
      </c>
    </row>
    <row r="8" spans="1:15" s="258" customFormat="1" ht="36" customHeight="1" thickBot="1" thickTop="1">
      <c r="A8" s="687"/>
      <c r="B8" s="688"/>
      <c r="C8" s="685"/>
      <c r="D8" s="687"/>
      <c r="E8" s="688"/>
      <c r="F8" s="689"/>
      <c r="G8" s="635" t="s">
        <v>858</v>
      </c>
      <c r="H8" s="274" t="s">
        <v>58</v>
      </c>
      <c r="I8" s="275" t="s">
        <v>59</v>
      </c>
      <c r="J8" s="274" t="s">
        <v>58</v>
      </c>
      <c r="K8" s="275" t="s">
        <v>59</v>
      </c>
      <c r="L8" s="274" t="s">
        <v>58</v>
      </c>
      <c r="M8" s="275" t="s">
        <v>59</v>
      </c>
      <c r="N8" s="685"/>
      <c r="O8" s="259"/>
    </row>
    <row r="9" spans="1:14" s="265" customFormat="1" ht="14.25" customHeight="1" thickBot="1" thickTop="1">
      <c r="A9" s="260">
        <v>1</v>
      </c>
      <c r="B9" s="335">
        <v>2</v>
      </c>
      <c r="C9" s="261">
        <v>3</v>
      </c>
      <c r="D9" s="262">
        <v>4</v>
      </c>
      <c r="E9" s="326">
        <v>5</v>
      </c>
      <c r="F9" s="263">
        <v>6</v>
      </c>
      <c r="G9" s="263"/>
      <c r="H9" s="264">
        <v>7</v>
      </c>
      <c r="I9" s="264">
        <v>8</v>
      </c>
      <c r="J9" s="264">
        <v>9</v>
      </c>
      <c r="K9" s="264">
        <v>10</v>
      </c>
      <c r="L9" s="264">
        <v>11</v>
      </c>
      <c r="M9" s="264">
        <v>12</v>
      </c>
      <c r="N9" s="264">
        <v>13</v>
      </c>
    </row>
    <row r="10" spans="1:16" s="283" customFormat="1" ht="18" customHeight="1" thickTop="1">
      <c r="A10" s="276"/>
      <c r="B10" s="336"/>
      <c r="C10" s="277" t="s">
        <v>326</v>
      </c>
      <c r="D10" s="278"/>
      <c r="E10" s="327"/>
      <c r="F10" s="279"/>
      <c r="G10" s="279"/>
      <c r="H10" s="280"/>
      <c r="I10" s="281"/>
      <c r="J10" s="281"/>
      <c r="K10" s="282"/>
      <c r="L10" s="281"/>
      <c r="M10" s="281"/>
      <c r="N10" s="281"/>
      <c r="P10" s="284"/>
    </row>
    <row r="11" spans="1:14" s="292" customFormat="1" ht="18" customHeight="1">
      <c r="A11" s="297"/>
      <c r="B11" s="338"/>
      <c r="C11" s="254" t="s">
        <v>327</v>
      </c>
      <c r="D11" s="356" t="s">
        <v>92</v>
      </c>
      <c r="E11" s="330"/>
      <c r="F11" s="357">
        <v>2</v>
      </c>
      <c r="G11" s="639"/>
      <c r="H11" s="227"/>
      <c r="I11" s="84"/>
      <c r="J11" s="83"/>
      <c r="K11" s="84"/>
      <c r="L11" s="83"/>
      <c r="M11" s="84"/>
      <c r="N11" s="84"/>
    </row>
    <row r="12" spans="1:14" s="292" customFormat="1" ht="18" customHeight="1">
      <c r="A12" s="297"/>
      <c r="B12" s="300"/>
      <c r="C12" s="254" t="s">
        <v>695</v>
      </c>
      <c r="D12" s="356" t="s">
        <v>92</v>
      </c>
      <c r="E12" s="301"/>
      <c r="F12" s="357">
        <v>54</v>
      </c>
      <c r="G12" s="639"/>
      <c r="H12" s="227"/>
      <c r="I12" s="84"/>
      <c r="J12" s="83"/>
      <c r="K12" s="84"/>
      <c r="L12" s="83"/>
      <c r="M12" s="84"/>
      <c r="N12" s="84"/>
    </row>
    <row r="13" spans="1:17" s="289" customFormat="1" ht="18" customHeight="1">
      <c r="A13" s="297"/>
      <c r="B13" s="300"/>
      <c r="C13" s="254" t="s">
        <v>696</v>
      </c>
      <c r="D13" s="356" t="s">
        <v>92</v>
      </c>
      <c r="E13" s="328"/>
      <c r="F13" s="357">
        <v>10</v>
      </c>
      <c r="G13" s="639"/>
      <c r="H13" s="227"/>
      <c r="I13" s="84"/>
      <c r="J13" s="83"/>
      <c r="K13" s="84"/>
      <c r="L13" s="83"/>
      <c r="M13" s="84"/>
      <c r="N13" s="84"/>
      <c r="O13" s="286"/>
      <c r="P13" s="287"/>
      <c r="Q13" s="288"/>
    </row>
    <row r="14" spans="1:17" s="292" customFormat="1" ht="18" customHeight="1">
      <c r="A14" s="297"/>
      <c r="B14" s="300"/>
      <c r="C14" s="254" t="s">
        <v>328</v>
      </c>
      <c r="D14" s="356" t="s">
        <v>92</v>
      </c>
      <c r="E14" s="301"/>
      <c r="F14" s="357">
        <v>6</v>
      </c>
      <c r="G14" s="639"/>
      <c r="H14" s="227"/>
      <c r="I14" s="84"/>
      <c r="J14" s="83"/>
      <c r="K14" s="84"/>
      <c r="L14" s="83"/>
      <c r="M14" s="84"/>
      <c r="N14" s="84"/>
      <c r="O14" s="296"/>
      <c r="P14" s="291"/>
      <c r="Q14" s="268"/>
    </row>
    <row r="15" spans="1:14" s="292" customFormat="1" ht="18" customHeight="1">
      <c r="A15" s="285"/>
      <c r="B15" s="293"/>
      <c r="C15" s="254" t="s">
        <v>329</v>
      </c>
      <c r="D15" s="356" t="s">
        <v>92</v>
      </c>
      <c r="E15" s="329"/>
      <c r="F15" s="357">
        <v>6</v>
      </c>
      <c r="G15" s="639"/>
      <c r="H15" s="227"/>
      <c r="I15" s="84"/>
      <c r="J15" s="83"/>
      <c r="K15" s="84"/>
      <c r="L15" s="83"/>
      <c r="M15" s="84"/>
      <c r="N15" s="84"/>
    </row>
    <row r="16" spans="1:14" s="292" customFormat="1" ht="18" customHeight="1">
      <c r="A16" s="297"/>
      <c r="B16" s="338"/>
      <c r="C16" s="254" t="s">
        <v>330</v>
      </c>
      <c r="D16" s="356" t="s">
        <v>92</v>
      </c>
      <c r="E16" s="330"/>
      <c r="F16" s="357">
        <v>4</v>
      </c>
      <c r="G16" s="639"/>
      <c r="H16" s="227"/>
      <c r="I16" s="84"/>
      <c r="J16" s="83"/>
      <c r="K16" s="84"/>
      <c r="L16" s="83"/>
      <c r="M16" s="84"/>
      <c r="N16" s="84"/>
    </row>
    <row r="17" spans="1:14" s="292" customFormat="1" ht="18" customHeight="1">
      <c r="A17" s="297"/>
      <c r="B17" s="300"/>
      <c r="C17" s="254" t="s">
        <v>331</v>
      </c>
      <c r="D17" s="356" t="s">
        <v>92</v>
      </c>
      <c r="E17" s="301"/>
      <c r="F17" s="357">
        <v>4</v>
      </c>
      <c r="G17" s="639"/>
      <c r="H17" s="227"/>
      <c r="I17" s="84"/>
      <c r="J17" s="83"/>
      <c r="K17" s="84"/>
      <c r="L17" s="83"/>
      <c r="M17" s="84"/>
      <c r="N17" s="84"/>
    </row>
    <row r="18" spans="1:17" s="289" customFormat="1" ht="18" customHeight="1">
      <c r="A18" s="297"/>
      <c r="B18" s="300"/>
      <c r="C18" s="254" t="s">
        <v>332</v>
      </c>
      <c r="D18" s="356" t="s">
        <v>92</v>
      </c>
      <c r="E18" s="328"/>
      <c r="F18" s="357">
        <v>4</v>
      </c>
      <c r="G18" s="639"/>
      <c r="H18" s="227"/>
      <c r="I18" s="84"/>
      <c r="J18" s="83"/>
      <c r="K18" s="84"/>
      <c r="L18" s="83"/>
      <c r="M18" s="84"/>
      <c r="N18" s="84"/>
      <c r="O18" s="286"/>
      <c r="P18" s="287"/>
      <c r="Q18" s="288"/>
    </row>
    <row r="19" spans="1:17" s="292" customFormat="1" ht="18" customHeight="1">
      <c r="A19" s="297"/>
      <c r="B19" s="300"/>
      <c r="C19" s="254" t="s">
        <v>333</v>
      </c>
      <c r="D19" s="356" t="s">
        <v>92</v>
      </c>
      <c r="E19" s="301"/>
      <c r="F19" s="357">
        <v>4</v>
      </c>
      <c r="G19" s="639"/>
      <c r="H19" s="227"/>
      <c r="I19" s="84"/>
      <c r="J19" s="83"/>
      <c r="K19" s="84"/>
      <c r="L19" s="83"/>
      <c r="M19" s="84"/>
      <c r="N19" s="84"/>
      <c r="O19" s="296"/>
      <c r="P19" s="291"/>
      <c r="Q19" s="268"/>
    </row>
    <row r="20" spans="1:14" s="292" customFormat="1" ht="18" customHeight="1">
      <c r="A20" s="285"/>
      <c r="B20" s="293"/>
      <c r="C20" s="254" t="s">
        <v>334</v>
      </c>
      <c r="D20" s="356" t="s">
        <v>92</v>
      </c>
      <c r="E20" s="329"/>
      <c r="F20" s="357">
        <v>1</v>
      </c>
      <c r="G20" s="639"/>
      <c r="H20" s="227"/>
      <c r="I20" s="84"/>
      <c r="J20" s="83"/>
      <c r="K20" s="84"/>
      <c r="L20" s="83"/>
      <c r="M20" s="84"/>
      <c r="N20" s="84"/>
    </row>
    <row r="21" spans="1:14" s="292" customFormat="1" ht="18" customHeight="1">
      <c r="A21" s="297"/>
      <c r="B21" s="338"/>
      <c r="C21" s="254" t="s">
        <v>335</v>
      </c>
      <c r="D21" s="356" t="s">
        <v>92</v>
      </c>
      <c r="E21" s="330"/>
      <c r="F21" s="357">
        <v>580</v>
      </c>
      <c r="G21" s="639"/>
      <c r="H21" s="227"/>
      <c r="I21" s="84"/>
      <c r="J21" s="83"/>
      <c r="K21" s="84"/>
      <c r="L21" s="83"/>
      <c r="M21" s="84"/>
      <c r="N21" s="84"/>
    </row>
    <row r="22" spans="1:16" s="283" customFormat="1" ht="18" customHeight="1">
      <c r="A22" s="276"/>
      <c r="B22" s="336"/>
      <c r="C22" s="277" t="s">
        <v>336</v>
      </c>
      <c r="D22" s="278"/>
      <c r="E22" s="327"/>
      <c r="F22" s="279"/>
      <c r="G22" s="279"/>
      <c r="H22" s="280"/>
      <c r="I22" s="281"/>
      <c r="J22" s="281"/>
      <c r="K22" s="282"/>
      <c r="L22" s="281"/>
      <c r="M22" s="281"/>
      <c r="N22" s="281"/>
      <c r="P22" s="284"/>
    </row>
    <row r="23" spans="1:17" s="289" customFormat="1" ht="18" customHeight="1">
      <c r="A23" s="297"/>
      <c r="B23" s="300"/>
      <c r="C23" s="254" t="s">
        <v>337</v>
      </c>
      <c r="D23" s="356" t="s">
        <v>92</v>
      </c>
      <c r="E23" s="328"/>
      <c r="F23" s="357">
        <v>32</v>
      </c>
      <c r="G23" s="639"/>
      <c r="H23" s="227"/>
      <c r="I23" s="84"/>
      <c r="J23" s="83"/>
      <c r="K23" s="84"/>
      <c r="L23" s="83"/>
      <c r="M23" s="84"/>
      <c r="N23" s="84"/>
      <c r="O23" s="286"/>
      <c r="P23" s="287"/>
      <c r="Q23" s="288"/>
    </row>
    <row r="24" spans="1:17" s="292" customFormat="1" ht="18" customHeight="1">
      <c r="A24" s="297"/>
      <c r="B24" s="300"/>
      <c r="C24" s="254" t="s">
        <v>338</v>
      </c>
      <c r="D24" s="356" t="s">
        <v>92</v>
      </c>
      <c r="E24" s="301"/>
      <c r="F24" s="357">
        <v>14</v>
      </c>
      <c r="G24" s="639"/>
      <c r="H24" s="227"/>
      <c r="I24" s="84"/>
      <c r="J24" s="83"/>
      <c r="K24" s="84"/>
      <c r="L24" s="83"/>
      <c r="M24" s="84"/>
      <c r="N24" s="84"/>
      <c r="O24" s="296"/>
      <c r="P24" s="291"/>
      <c r="Q24" s="268"/>
    </row>
    <row r="25" spans="1:14" s="292" customFormat="1" ht="36" customHeight="1">
      <c r="A25" s="285"/>
      <c r="B25" s="293"/>
      <c r="C25" s="254" t="s">
        <v>339</v>
      </c>
      <c r="D25" s="356" t="s">
        <v>92</v>
      </c>
      <c r="E25" s="329"/>
      <c r="F25" s="357">
        <v>1</v>
      </c>
      <c r="G25" s="639"/>
      <c r="H25" s="227"/>
      <c r="I25" s="84"/>
      <c r="J25" s="83"/>
      <c r="K25" s="84"/>
      <c r="L25" s="83"/>
      <c r="M25" s="84"/>
      <c r="N25" s="84"/>
    </row>
    <row r="26" spans="1:14" s="292" customFormat="1" ht="18" customHeight="1">
      <c r="A26" s="297"/>
      <c r="B26" s="338"/>
      <c r="C26" s="254" t="s">
        <v>340</v>
      </c>
      <c r="D26" s="356" t="s">
        <v>92</v>
      </c>
      <c r="E26" s="330"/>
      <c r="F26" s="357">
        <v>1</v>
      </c>
      <c r="G26" s="639"/>
      <c r="H26" s="227"/>
      <c r="I26" s="84"/>
      <c r="J26" s="83"/>
      <c r="K26" s="84"/>
      <c r="L26" s="83"/>
      <c r="M26" s="84"/>
      <c r="N26" s="84"/>
    </row>
    <row r="27" spans="1:14" s="292" customFormat="1" ht="18" customHeight="1">
      <c r="A27" s="297"/>
      <c r="B27" s="300"/>
      <c r="C27" s="254" t="s">
        <v>341</v>
      </c>
      <c r="D27" s="356" t="s">
        <v>92</v>
      </c>
      <c r="E27" s="301"/>
      <c r="F27" s="357">
        <v>2</v>
      </c>
      <c r="G27" s="639"/>
      <c r="H27" s="227"/>
      <c r="I27" s="84"/>
      <c r="J27" s="83"/>
      <c r="K27" s="84"/>
      <c r="L27" s="83"/>
      <c r="M27" s="84"/>
      <c r="N27" s="84"/>
    </row>
    <row r="28" spans="1:16" s="283" customFormat="1" ht="18" customHeight="1">
      <c r="A28" s="297"/>
      <c r="B28" s="300"/>
      <c r="C28" s="254" t="s">
        <v>342</v>
      </c>
      <c r="D28" s="356" t="s">
        <v>92</v>
      </c>
      <c r="E28" s="301"/>
      <c r="F28" s="357">
        <v>2</v>
      </c>
      <c r="G28" s="639"/>
      <c r="H28" s="227"/>
      <c r="I28" s="84"/>
      <c r="J28" s="83"/>
      <c r="K28" s="84"/>
      <c r="L28" s="83"/>
      <c r="M28" s="84"/>
      <c r="N28" s="84"/>
      <c r="P28" s="284"/>
    </row>
    <row r="29" spans="1:17" s="289" customFormat="1" ht="18" customHeight="1">
      <c r="A29" s="297"/>
      <c r="B29" s="339"/>
      <c r="C29" s="254" t="s">
        <v>343</v>
      </c>
      <c r="D29" s="356" t="s">
        <v>92</v>
      </c>
      <c r="E29" s="328"/>
      <c r="F29" s="357">
        <v>1</v>
      </c>
      <c r="G29" s="639"/>
      <c r="H29" s="227"/>
      <c r="I29" s="84"/>
      <c r="J29" s="83"/>
      <c r="K29" s="84"/>
      <c r="L29" s="83"/>
      <c r="M29" s="84"/>
      <c r="N29" s="84"/>
      <c r="O29" s="286"/>
      <c r="P29" s="287"/>
      <c r="Q29" s="288"/>
    </row>
    <row r="30" spans="1:17" s="292" customFormat="1" ht="18" customHeight="1">
      <c r="A30" s="297"/>
      <c r="B30" s="300"/>
      <c r="C30" s="254" t="s">
        <v>344</v>
      </c>
      <c r="D30" s="356" t="s">
        <v>215</v>
      </c>
      <c r="E30" s="331"/>
      <c r="F30" s="357">
        <v>2950</v>
      </c>
      <c r="G30" s="639"/>
      <c r="H30" s="227"/>
      <c r="I30" s="84"/>
      <c r="J30" s="83"/>
      <c r="K30" s="84"/>
      <c r="L30" s="83"/>
      <c r="M30" s="84"/>
      <c r="N30" s="84"/>
      <c r="O30" s="296"/>
      <c r="P30" s="291"/>
      <c r="Q30" s="268"/>
    </row>
    <row r="31" spans="1:16" s="283" customFormat="1" ht="18" customHeight="1">
      <c r="A31" s="276"/>
      <c r="B31" s="336"/>
      <c r="C31" s="277" t="s">
        <v>621</v>
      </c>
      <c r="D31" s="278"/>
      <c r="E31" s="327"/>
      <c r="F31" s="279"/>
      <c r="G31" s="279"/>
      <c r="H31" s="280"/>
      <c r="I31" s="281"/>
      <c r="J31" s="281"/>
      <c r="K31" s="282"/>
      <c r="L31" s="281"/>
      <c r="M31" s="281"/>
      <c r="N31" s="281"/>
      <c r="P31" s="284"/>
    </row>
    <row r="32" spans="1:17" s="292" customFormat="1" ht="54" customHeight="1">
      <c r="A32" s="297"/>
      <c r="B32" s="300"/>
      <c r="C32" s="254" t="s">
        <v>345</v>
      </c>
      <c r="D32" s="350" t="s">
        <v>346</v>
      </c>
      <c r="E32" s="329"/>
      <c r="F32" s="357">
        <v>1</v>
      </c>
      <c r="G32" s="639"/>
      <c r="H32" s="227"/>
      <c r="I32" s="84"/>
      <c r="J32" s="83"/>
      <c r="K32" s="84"/>
      <c r="L32" s="83"/>
      <c r="M32" s="84"/>
      <c r="N32" s="84"/>
      <c r="O32" s="296"/>
      <c r="P32" s="291"/>
      <c r="Q32" s="268"/>
    </row>
    <row r="33" spans="1:17" s="292" customFormat="1" ht="18" customHeight="1">
      <c r="A33" s="297"/>
      <c r="B33" s="300"/>
      <c r="C33" s="254" t="s">
        <v>347</v>
      </c>
      <c r="D33" s="356" t="s">
        <v>92</v>
      </c>
      <c r="E33" s="329"/>
      <c r="F33" s="357">
        <v>9</v>
      </c>
      <c r="G33" s="639"/>
      <c r="H33" s="227"/>
      <c r="I33" s="84"/>
      <c r="J33" s="83"/>
      <c r="K33" s="84"/>
      <c r="L33" s="83"/>
      <c r="M33" s="84"/>
      <c r="N33" s="84"/>
      <c r="O33" s="296"/>
      <c r="P33" s="291"/>
      <c r="Q33" s="268"/>
    </row>
    <row r="34" spans="1:17" s="292" customFormat="1" ht="18" customHeight="1">
      <c r="A34" s="297"/>
      <c r="B34" s="300"/>
      <c r="C34" s="254" t="s">
        <v>348</v>
      </c>
      <c r="D34" s="356" t="s">
        <v>92</v>
      </c>
      <c r="E34" s="329"/>
      <c r="F34" s="357">
        <v>8</v>
      </c>
      <c r="G34" s="639"/>
      <c r="H34" s="227"/>
      <c r="I34" s="84"/>
      <c r="J34" s="83"/>
      <c r="K34" s="84"/>
      <c r="L34" s="83"/>
      <c r="M34" s="84"/>
      <c r="N34" s="84"/>
      <c r="O34" s="296"/>
      <c r="P34" s="291"/>
      <c r="Q34" s="268"/>
    </row>
    <row r="35" spans="1:17" s="292" customFormat="1" ht="18" customHeight="1">
      <c r="A35" s="297"/>
      <c r="B35" s="300"/>
      <c r="C35" s="254" t="s">
        <v>349</v>
      </c>
      <c r="D35" s="356" t="s">
        <v>92</v>
      </c>
      <c r="E35" s="329"/>
      <c r="F35" s="357">
        <v>1</v>
      </c>
      <c r="G35" s="639"/>
      <c r="H35" s="227"/>
      <c r="I35" s="84"/>
      <c r="J35" s="83"/>
      <c r="K35" s="84"/>
      <c r="L35" s="83"/>
      <c r="M35" s="84"/>
      <c r="N35" s="84"/>
      <c r="O35" s="291"/>
      <c r="P35" s="291"/>
      <c r="Q35" s="268"/>
    </row>
    <row r="36" spans="1:17" s="292" customFormat="1" ht="18" customHeight="1">
      <c r="A36" s="297"/>
      <c r="B36" s="300"/>
      <c r="C36" s="254" t="s">
        <v>350</v>
      </c>
      <c r="D36" s="356" t="s">
        <v>92</v>
      </c>
      <c r="E36" s="329"/>
      <c r="F36" s="357">
        <v>1</v>
      </c>
      <c r="G36" s="639"/>
      <c r="H36" s="227"/>
      <c r="I36" s="84"/>
      <c r="J36" s="83"/>
      <c r="K36" s="84"/>
      <c r="L36" s="83"/>
      <c r="M36" s="84"/>
      <c r="N36" s="84"/>
      <c r="O36" s="291"/>
      <c r="P36" s="291"/>
      <c r="Q36" s="268"/>
    </row>
    <row r="37" spans="1:17" s="292" customFormat="1" ht="18" customHeight="1">
      <c r="A37" s="297"/>
      <c r="B37" s="300"/>
      <c r="C37" s="254" t="s">
        <v>351</v>
      </c>
      <c r="D37" s="356" t="s">
        <v>92</v>
      </c>
      <c r="E37" s="329"/>
      <c r="F37" s="357">
        <v>1</v>
      </c>
      <c r="G37" s="639"/>
      <c r="H37" s="227"/>
      <c r="I37" s="84"/>
      <c r="J37" s="83"/>
      <c r="K37" s="84"/>
      <c r="L37" s="83"/>
      <c r="M37" s="84"/>
      <c r="N37" s="84"/>
      <c r="O37" s="291"/>
      <c r="P37" s="291"/>
      <c r="Q37" s="268"/>
    </row>
    <row r="38" spans="1:17" s="292" customFormat="1" ht="18" customHeight="1">
      <c r="A38" s="297"/>
      <c r="B38" s="300"/>
      <c r="C38" s="254" t="s">
        <v>352</v>
      </c>
      <c r="D38" s="356" t="s">
        <v>215</v>
      </c>
      <c r="E38" s="329"/>
      <c r="F38" s="357">
        <v>770</v>
      </c>
      <c r="G38" s="639"/>
      <c r="H38" s="227"/>
      <c r="I38" s="84"/>
      <c r="J38" s="83"/>
      <c r="K38" s="84"/>
      <c r="L38" s="83"/>
      <c r="M38" s="84"/>
      <c r="N38" s="84"/>
      <c r="O38" s="291"/>
      <c r="P38" s="291"/>
      <c r="Q38" s="268"/>
    </row>
    <row r="39" spans="1:17" s="313" customFormat="1" ht="15" customHeight="1" thickBot="1">
      <c r="A39" s="267"/>
      <c r="B39" s="324"/>
      <c r="C39" s="308"/>
      <c r="D39" s="308"/>
      <c r="E39" s="332"/>
      <c r="F39" s="288"/>
      <c r="G39" s="288"/>
      <c r="H39" s="309"/>
      <c r="I39" s="310"/>
      <c r="J39" s="310"/>
      <c r="K39" s="311"/>
      <c r="L39" s="310"/>
      <c r="M39" s="311"/>
      <c r="N39" s="312"/>
      <c r="P39" s="267"/>
      <c r="Q39" s="267"/>
    </row>
    <row r="40" spans="1:17" s="202" customFormat="1" ht="18" customHeight="1">
      <c r="A40" s="197"/>
      <c r="B40" s="198"/>
      <c r="C40" s="160" t="s">
        <v>358</v>
      </c>
      <c r="D40" s="114"/>
      <c r="E40" s="114"/>
      <c r="F40" s="165"/>
      <c r="G40" s="165"/>
      <c r="H40" s="165"/>
      <c r="I40" s="166">
        <f>SUM(I10:I39)</f>
        <v>0</v>
      </c>
      <c r="J40" s="166"/>
      <c r="K40" s="166">
        <f>SUM(K10:K39)</f>
        <v>0</v>
      </c>
      <c r="L40" s="166"/>
      <c r="M40" s="166">
        <f>SUM(M10:M39)</f>
        <v>0</v>
      </c>
      <c r="N40" s="166">
        <f>SUM(N10:N39)</f>
        <v>0</v>
      </c>
      <c r="O40" s="199"/>
      <c r="P40" s="200"/>
      <c r="Q40" s="201"/>
    </row>
    <row r="41" spans="1:17" s="67" customFormat="1" ht="18" customHeight="1">
      <c r="A41" s="203"/>
      <c r="B41" s="123"/>
      <c r="C41" s="63" t="s">
        <v>133</v>
      </c>
      <c r="D41" s="72">
        <v>0.03</v>
      </c>
      <c r="E41" s="5"/>
      <c r="F41" s="204"/>
      <c r="G41" s="204"/>
      <c r="H41" s="63"/>
      <c r="I41" s="64"/>
      <c r="J41" s="64"/>
      <c r="K41" s="64"/>
      <c r="L41" s="64"/>
      <c r="M41" s="64"/>
      <c r="N41" s="65">
        <f>I40*D41</f>
        <v>0</v>
      </c>
      <c r="O41" s="205"/>
      <c r="P41" s="219"/>
      <c r="Q41" s="219"/>
    </row>
    <row r="42" spans="1:17" s="61" customFormat="1" ht="18" customHeight="1">
      <c r="A42" s="203"/>
      <c r="B42" s="123"/>
      <c r="C42" s="63" t="s">
        <v>68</v>
      </c>
      <c r="D42" s="69"/>
      <c r="E42" s="5"/>
      <c r="F42" s="68"/>
      <c r="G42" s="68"/>
      <c r="H42" s="68"/>
      <c r="I42" s="70"/>
      <c r="J42" s="70"/>
      <c r="K42" s="70"/>
      <c r="L42" s="70"/>
      <c r="M42" s="70"/>
      <c r="N42" s="65">
        <f>SUM(N40:N41)</f>
        <v>0</v>
      </c>
      <c r="O42" s="124"/>
      <c r="P42" s="220"/>
      <c r="Q42" s="220"/>
    </row>
    <row r="43" spans="1:17" s="67" customFormat="1" ht="18" customHeight="1">
      <c r="A43" s="203"/>
      <c r="B43" s="123"/>
      <c r="C43" s="63" t="s">
        <v>123</v>
      </c>
      <c r="D43" s="72">
        <v>0.1</v>
      </c>
      <c r="E43" s="5"/>
      <c r="F43" s="204"/>
      <c r="G43" s="204"/>
      <c r="H43" s="63"/>
      <c r="I43" s="64"/>
      <c r="J43" s="64"/>
      <c r="K43" s="64"/>
      <c r="L43" s="64"/>
      <c r="M43" s="64"/>
      <c r="N43" s="65">
        <f>N42*D43</f>
        <v>0</v>
      </c>
      <c r="O43" s="205"/>
      <c r="P43" s="219"/>
      <c r="Q43" s="219"/>
    </row>
    <row r="44" spans="1:17" s="61" customFormat="1" ht="18" customHeight="1">
      <c r="A44" s="203"/>
      <c r="B44" s="123"/>
      <c r="C44" s="63" t="s">
        <v>68</v>
      </c>
      <c r="D44" s="69"/>
      <c r="E44" s="5"/>
      <c r="F44" s="68"/>
      <c r="G44" s="68"/>
      <c r="H44" s="68"/>
      <c r="I44" s="70"/>
      <c r="J44" s="70"/>
      <c r="K44" s="70"/>
      <c r="L44" s="70"/>
      <c r="M44" s="70"/>
      <c r="N44" s="65">
        <f>SUM(N42:N43)</f>
        <v>0</v>
      </c>
      <c r="O44" s="124"/>
      <c r="P44" s="220"/>
      <c r="Q44" s="220"/>
    </row>
    <row r="45" spans="1:15" s="67" customFormat="1" ht="18" customHeight="1">
      <c r="A45" s="203"/>
      <c r="B45" s="123"/>
      <c r="C45" s="63" t="s">
        <v>124</v>
      </c>
      <c r="D45" s="72">
        <v>0.08</v>
      </c>
      <c r="E45" s="5"/>
      <c r="F45" s="204"/>
      <c r="G45" s="204"/>
      <c r="H45" s="63"/>
      <c r="I45" s="64"/>
      <c r="J45" s="64"/>
      <c r="K45" s="64"/>
      <c r="L45" s="64"/>
      <c r="M45" s="64"/>
      <c r="N45" s="65">
        <f>N44*D45</f>
        <v>0</v>
      </c>
      <c r="O45" s="124"/>
    </row>
    <row r="46" spans="1:15" s="210" customFormat="1" ht="21" customHeight="1" thickBot="1">
      <c r="A46" s="206"/>
      <c r="B46" s="207"/>
      <c r="C46" s="161" t="s">
        <v>141</v>
      </c>
      <c r="D46" s="115"/>
      <c r="E46" s="116"/>
      <c r="F46" s="208"/>
      <c r="G46" s="208"/>
      <c r="H46" s="161"/>
      <c r="I46" s="167"/>
      <c r="J46" s="167"/>
      <c r="K46" s="167"/>
      <c r="L46" s="167"/>
      <c r="M46" s="167"/>
      <c r="N46" s="168">
        <f>SUM(N44:N45)</f>
        <v>0</v>
      </c>
      <c r="O46" s="209"/>
    </row>
    <row r="47" spans="1:15" s="86" customFormat="1" ht="15">
      <c r="A47" s="24"/>
      <c r="B47" s="90"/>
      <c r="C47" s="162"/>
      <c r="D47" s="117"/>
      <c r="E47" s="24"/>
      <c r="F47" s="162"/>
      <c r="G47" s="162"/>
      <c r="H47" s="162"/>
      <c r="I47" s="162"/>
      <c r="J47" s="169"/>
      <c r="K47" s="162"/>
      <c r="L47" s="169"/>
      <c r="M47" s="162"/>
      <c r="N47" s="67"/>
      <c r="O47" s="211"/>
    </row>
    <row r="48" spans="1:15" s="86" customFormat="1" ht="15">
      <c r="A48" s="24"/>
      <c r="B48" s="90"/>
      <c r="C48" s="82"/>
      <c r="D48" s="117"/>
      <c r="E48" s="24"/>
      <c r="F48" s="162"/>
      <c r="G48" s="162"/>
      <c r="H48" s="162"/>
      <c r="I48" s="162"/>
      <c r="J48" s="169"/>
      <c r="K48" s="162"/>
      <c r="L48" s="169"/>
      <c r="M48" s="162"/>
      <c r="N48" s="67"/>
      <c r="O48" s="142"/>
    </row>
    <row r="49" spans="1:15" s="86" customFormat="1" ht="15">
      <c r="A49" s="24"/>
      <c r="B49" s="90"/>
      <c r="C49" s="82"/>
      <c r="D49" s="117"/>
      <c r="E49" s="24"/>
      <c r="F49" s="162"/>
      <c r="G49" s="162"/>
      <c r="H49" s="162"/>
      <c r="I49" s="162"/>
      <c r="J49" s="169"/>
      <c r="K49" s="162"/>
      <c r="L49" s="169"/>
      <c r="M49" s="162"/>
      <c r="N49" s="67"/>
      <c r="O49" s="142"/>
    </row>
    <row r="50" spans="1:15" s="86" customFormat="1" ht="15">
      <c r="A50" s="24"/>
      <c r="B50" s="90"/>
      <c r="C50" s="15"/>
      <c r="D50" s="117"/>
      <c r="E50" s="24"/>
      <c r="F50" s="162"/>
      <c r="G50" s="162"/>
      <c r="H50" s="162"/>
      <c r="I50" s="162"/>
      <c r="J50" s="169"/>
      <c r="K50" s="170"/>
      <c r="L50" s="169"/>
      <c r="M50" s="162"/>
      <c r="N50" s="67"/>
      <c r="O50" s="142"/>
    </row>
    <row r="51" spans="1:15" s="163" customFormat="1" ht="18" customHeight="1">
      <c r="A51" s="118"/>
      <c r="B51" s="212"/>
      <c r="D51" s="118"/>
      <c r="E51" s="119"/>
      <c r="H51" s="678"/>
      <c r="I51" s="678"/>
      <c r="J51" s="678"/>
      <c r="N51" s="27"/>
      <c r="O51" s="176"/>
    </row>
    <row r="52" spans="1:17" s="320" customFormat="1" ht="15.75">
      <c r="A52" s="267"/>
      <c r="B52" s="340"/>
      <c r="C52" s="315"/>
      <c r="D52" s="315"/>
      <c r="E52" s="324"/>
      <c r="F52" s="268"/>
      <c r="G52" s="268"/>
      <c r="H52" s="316"/>
      <c r="I52" s="316"/>
      <c r="J52" s="317"/>
      <c r="K52" s="316"/>
      <c r="L52" s="317"/>
      <c r="M52" s="316"/>
      <c r="N52" s="318"/>
      <c r="O52" s="319"/>
      <c r="P52" s="319"/>
      <c r="Q52" s="319"/>
    </row>
    <row r="53" spans="1:17" s="320" customFormat="1" ht="15.75">
      <c r="A53" s="267"/>
      <c r="B53" s="340"/>
      <c r="C53" s="315"/>
      <c r="D53" s="315"/>
      <c r="E53" s="324"/>
      <c r="F53" s="268"/>
      <c r="G53" s="268"/>
      <c r="H53" s="316"/>
      <c r="I53" s="316"/>
      <c r="J53" s="317"/>
      <c r="K53" s="316"/>
      <c r="L53" s="317"/>
      <c r="M53" s="316"/>
      <c r="N53" s="318"/>
      <c r="O53" s="319"/>
      <c r="P53" s="319"/>
      <c r="Q53" s="319"/>
    </row>
    <row r="54" spans="1:17" s="320" customFormat="1" ht="15.75">
      <c r="A54" s="267"/>
      <c r="B54" s="340"/>
      <c r="C54" s="315"/>
      <c r="D54" s="315"/>
      <c r="E54" s="324"/>
      <c r="F54" s="268"/>
      <c r="G54" s="268"/>
      <c r="H54" s="316"/>
      <c r="I54" s="316"/>
      <c r="J54" s="317"/>
      <c r="K54" s="316"/>
      <c r="L54" s="317"/>
      <c r="M54" s="316"/>
      <c r="N54" s="318"/>
      <c r="O54" s="319"/>
      <c r="P54" s="319"/>
      <c r="Q54" s="319"/>
    </row>
    <row r="55" spans="1:17" s="320" customFormat="1" ht="15.75">
      <c r="A55" s="267"/>
      <c r="B55" s="340"/>
      <c r="C55" s="315"/>
      <c r="D55" s="315"/>
      <c r="E55" s="324"/>
      <c r="F55" s="268"/>
      <c r="G55" s="268"/>
      <c r="H55" s="316"/>
      <c r="I55" s="316"/>
      <c r="J55" s="317"/>
      <c r="K55" s="316"/>
      <c r="L55" s="317"/>
      <c r="M55" s="316"/>
      <c r="N55" s="318"/>
      <c r="O55" s="319"/>
      <c r="P55" s="319"/>
      <c r="Q55" s="319"/>
    </row>
    <row r="56" spans="1:17" s="320" customFormat="1" ht="15.75">
      <c r="A56" s="267"/>
      <c r="B56" s="340"/>
      <c r="C56" s="315"/>
      <c r="D56" s="315"/>
      <c r="E56" s="324"/>
      <c r="F56" s="268"/>
      <c r="G56" s="268"/>
      <c r="H56" s="316"/>
      <c r="I56" s="316"/>
      <c r="J56" s="317"/>
      <c r="K56" s="316"/>
      <c r="L56" s="317"/>
      <c r="M56" s="316"/>
      <c r="N56" s="318"/>
      <c r="O56" s="319"/>
      <c r="P56" s="319"/>
      <c r="Q56" s="319"/>
    </row>
    <row r="57" spans="1:17" s="320" customFormat="1" ht="15.75">
      <c r="A57" s="267"/>
      <c r="B57" s="340"/>
      <c r="C57" s="315"/>
      <c r="D57" s="315"/>
      <c r="E57" s="324"/>
      <c r="F57" s="268"/>
      <c r="G57" s="268"/>
      <c r="H57" s="316"/>
      <c r="I57" s="316"/>
      <c r="J57" s="317"/>
      <c r="K57" s="316"/>
      <c r="L57" s="317"/>
      <c r="M57" s="316"/>
      <c r="N57" s="318"/>
      <c r="O57" s="319"/>
      <c r="P57" s="319"/>
      <c r="Q57" s="319"/>
    </row>
    <row r="58" spans="1:17" s="320" customFormat="1" ht="15.75">
      <c r="A58" s="267"/>
      <c r="B58" s="340"/>
      <c r="C58" s="315"/>
      <c r="D58" s="315"/>
      <c r="E58" s="324"/>
      <c r="F58" s="268"/>
      <c r="G58" s="268"/>
      <c r="H58" s="316"/>
      <c r="I58" s="316"/>
      <c r="J58" s="317"/>
      <c r="K58" s="316"/>
      <c r="L58" s="317"/>
      <c r="M58" s="316"/>
      <c r="N58" s="318"/>
      <c r="O58" s="319"/>
      <c r="P58" s="319"/>
      <c r="Q58" s="319"/>
    </row>
    <row r="59" spans="1:17" s="320" customFormat="1" ht="15.75">
      <c r="A59" s="267"/>
      <c r="B59" s="340"/>
      <c r="C59" s="315"/>
      <c r="D59" s="315"/>
      <c r="E59" s="324"/>
      <c r="F59" s="268"/>
      <c r="G59" s="268"/>
      <c r="H59" s="316"/>
      <c r="I59" s="316"/>
      <c r="J59" s="317"/>
      <c r="K59" s="316"/>
      <c r="L59" s="317"/>
      <c r="M59" s="316"/>
      <c r="N59" s="318"/>
      <c r="O59" s="319"/>
      <c r="P59" s="319"/>
      <c r="Q59" s="319"/>
    </row>
    <row r="60" spans="1:17" s="320" customFormat="1" ht="15.75">
      <c r="A60" s="267"/>
      <c r="B60" s="340"/>
      <c r="C60" s="315"/>
      <c r="D60" s="315"/>
      <c r="E60" s="324"/>
      <c r="F60" s="268"/>
      <c r="G60" s="268"/>
      <c r="H60" s="316"/>
      <c r="I60" s="316"/>
      <c r="J60" s="317"/>
      <c r="K60" s="316"/>
      <c r="L60" s="317"/>
      <c r="M60" s="316"/>
      <c r="N60" s="318"/>
      <c r="O60" s="319"/>
      <c r="P60" s="319"/>
      <c r="Q60" s="319"/>
    </row>
    <row r="61" spans="1:17" s="320" customFormat="1" ht="15.75">
      <c r="A61" s="267"/>
      <c r="B61" s="340"/>
      <c r="C61" s="315"/>
      <c r="D61" s="315"/>
      <c r="E61" s="324"/>
      <c r="F61" s="268"/>
      <c r="G61" s="268"/>
      <c r="H61" s="316"/>
      <c r="I61" s="316"/>
      <c r="J61" s="317"/>
      <c r="K61" s="316"/>
      <c r="L61" s="317"/>
      <c r="M61" s="316"/>
      <c r="N61" s="318"/>
      <c r="O61" s="319"/>
      <c r="P61" s="319"/>
      <c r="Q61" s="319"/>
    </row>
    <row r="62" spans="1:17" s="320" customFormat="1" ht="15.75">
      <c r="A62" s="267"/>
      <c r="B62" s="340"/>
      <c r="C62" s="315"/>
      <c r="D62" s="315"/>
      <c r="E62" s="324"/>
      <c r="F62" s="268"/>
      <c r="G62" s="268"/>
      <c r="H62" s="316"/>
      <c r="I62" s="316"/>
      <c r="J62" s="317"/>
      <c r="K62" s="316"/>
      <c r="L62" s="317"/>
      <c r="M62" s="316"/>
      <c r="N62" s="318"/>
      <c r="O62" s="319"/>
      <c r="P62" s="319"/>
      <c r="Q62" s="319"/>
    </row>
    <row r="63" spans="1:17" s="320" customFormat="1" ht="15.75">
      <c r="A63" s="267"/>
      <c r="B63" s="340"/>
      <c r="C63" s="315"/>
      <c r="D63" s="315"/>
      <c r="E63" s="324"/>
      <c r="F63" s="268"/>
      <c r="G63" s="268"/>
      <c r="H63" s="316"/>
      <c r="I63" s="316"/>
      <c r="J63" s="317"/>
      <c r="K63" s="316"/>
      <c r="L63" s="317"/>
      <c r="M63" s="316"/>
      <c r="N63" s="318"/>
      <c r="O63" s="319"/>
      <c r="P63" s="319"/>
      <c r="Q63" s="319"/>
    </row>
    <row r="64" spans="1:17" s="320" customFormat="1" ht="15.75">
      <c r="A64" s="267"/>
      <c r="B64" s="340"/>
      <c r="C64" s="315"/>
      <c r="D64" s="315"/>
      <c r="E64" s="324"/>
      <c r="F64" s="268"/>
      <c r="G64" s="268"/>
      <c r="H64" s="316"/>
      <c r="I64" s="316"/>
      <c r="J64" s="317"/>
      <c r="K64" s="316"/>
      <c r="L64" s="317"/>
      <c r="M64" s="316"/>
      <c r="N64" s="318"/>
      <c r="O64" s="319"/>
      <c r="P64" s="319"/>
      <c r="Q64" s="319"/>
    </row>
    <row r="65" spans="1:17" s="320" customFormat="1" ht="15.75">
      <c r="A65" s="267"/>
      <c r="B65" s="340"/>
      <c r="C65" s="315"/>
      <c r="D65" s="315"/>
      <c r="E65" s="324"/>
      <c r="F65" s="268"/>
      <c r="G65" s="268"/>
      <c r="H65" s="316"/>
      <c r="I65" s="316"/>
      <c r="J65" s="317"/>
      <c r="K65" s="316"/>
      <c r="L65" s="317"/>
      <c r="M65" s="316"/>
      <c r="N65" s="318"/>
      <c r="O65" s="319"/>
      <c r="P65" s="319"/>
      <c r="Q65" s="319"/>
    </row>
    <row r="66" spans="1:17" s="320" customFormat="1" ht="15.75">
      <c r="A66" s="267"/>
      <c r="B66" s="340"/>
      <c r="C66" s="315"/>
      <c r="D66" s="315"/>
      <c r="E66" s="324"/>
      <c r="F66" s="268"/>
      <c r="G66" s="268"/>
      <c r="H66" s="316"/>
      <c r="I66" s="316"/>
      <c r="J66" s="317"/>
      <c r="K66" s="316"/>
      <c r="L66" s="317"/>
      <c r="M66" s="316"/>
      <c r="N66" s="318"/>
      <c r="O66" s="319"/>
      <c r="P66" s="319"/>
      <c r="Q66" s="319"/>
    </row>
    <row r="67" spans="1:17" s="320" customFormat="1" ht="15.75">
      <c r="A67" s="267"/>
      <c r="B67" s="340"/>
      <c r="C67" s="315"/>
      <c r="D67" s="315"/>
      <c r="E67" s="324"/>
      <c r="F67" s="268"/>
      <c r="G67" s="268"/>
      <c r="H67" s="316"/>
      <c r="I67" s="316"/>
      <c r="J67" s="317"/>
      <c r="K67" s="316"/>
      <c r="L67" s="317"/>
      <c r="M67" s="316"/>
      <c r="N67" s="318"/>
      <c r="O67" s="319"/>
      <c r="P67" s="319"/>
      <c r="Q67" s="319"/>
    </row>
    <row r="68" spans="1:17" s="320" customFormat="1" ht="15.75">
      <c r="A68" s="267"/>
      <c r="B68" s="340"/>
      <c r="C68" s="315"/>
      <c r="D68" s="315"/>
      <c r="E68" s="324"/>
      <c r="F68" s="268"/>
      <c r="G68" s="268"/>
      <c r="H68" s="316"/>
      <c r="I68" s="316"/>
      <c r="J68" s="317"/>
      <c r="K68" s="316"/>
      <c r="L68" s="317"/>
      <c r="M68" s="316"/>
      <c r="N68" s="318"/>
      <c r="O68" s="319"/>
      <c r="P68" s="319"/>
      <c r="Q68" s="319"/>
    </row>
    <row r="69" spans="1:17" s="320" customFormat="1" ht="15.75">
      <c r="A69" s="267"/>
      <c r="B69" s="340"/>
      <c r="C69" s="315"/>
      <c r="D69" s="315"/>
      <c r="E69" s="324"/>
      <c r="F69" s="268"/>
      <c r="G69" s="268"/>
      <c r="H69" s="316"/>
      <c r="I69" s="316"/>
      <c r="J69" s="317"/>
      <c r="K69" s="316"/>
      <c r="L69" s="317"/>
      <c r="M69" s="316"/>
      <c r="N69" s="318"/>
      <c r="O69" s="319"/>
      <c r="P69" s="319"/>
      <c r="Q69" s="319"/>
    </row>
    <row r="70" spans="1:17" s="320" customFormat="1" ht="15.75">
      <c r="A70" s="267"/>
      <c r="B70" s="340"/>
      <c r="C70" s="315"/>
      <c r="D70" s="315"/>
      <c r="E70" s="324"/>
      <c r="F70" s="268"/>
      <c r="G70" s="268"/>
      <c r="H70" s="316"/>
      <c r="I70" s="316"/>
      <c r="J70" s="317"/>
      <c r="K70" s="316"/>
      <c r="L70" s="317"/>
      <c r="M70" s="316"/>
      <c r="N70" s="318"/>
      <c r="O70" s="319"/>
      <c r="P70" s="319"/>
      <c r="Q70" s="319"/>
    </row>
    <row r="71" spans="1:17" s="320" customFormat="1" ht="15.75">
      <c r="A71" s="267"/>
      <c r="B71" s="340"/>
      <c r="C71" s="315"/>
      <c r="D71" s="315"/>
      <c r="E71" s="324"/>
      <c r="F71" s="268"/>
      <c r="G71" s="268"/>
      <c r="H71" s="316"/>
      <c r="I71" s="316"/>
      <c r="J71" s="317"/>
      <c r="K71" s="316"/>
      <c r="L71" s="317"/>
      <c r="M71" s="316"/>
      <c r="N71" s="318"/>
      <c r="O71" s="319"/>
      <c r="P71" s="319"/>
      <c r="Q71" s="319"/>
    </row>
    <row r="72" spans="1:17" s="320" customFormat="1" ht="15.75">
      <c r="A72" s="267"/>
      <c r="B72" s="340"/>
      <c r="C72" s="315"/>
      <c r="D72" s="315"/>
      <c r="E72" s="324"/>
      <c r="F72" s="268"/>
      <c r="G72" s="268"/>
      <c r="H72" s="316"/>
      <c r="I72" s="316"/>
      <c r="J72" s="317"/>
      <c r="K72" s="316"/>
      <c r="L72" s="317"/>
      <c r="M72" s="316"/>
      <c r="N72" s="318"/>
      <c r="O72" s="319"/>
      <c r="P72" s="319"/>
      <c r="Q72" s="319"/>
    </row>
    <row r="73" spans="1:17" s="320" customFormat="1" ht="15.75">
      <c r="A73" s="267"/>
      <c r="B73" s="340"/>
      <c r="C73" s="315"/>
      <c r="D73" s="315"/>
      <c r="E73" s="324"/>
      <c r="F73" s="268"/>
      <c r="G73" s="268"/>
      <c r="H73" s="316"/>
      <c r="I73" s="316"/>
      <c r="J73" s="317"/>
      <c r="K73" s="316"/>
      <c r="L73" s="317"/>
      <c r="M73" s="316"/>
      <c r="N73" s="318"/>
      <c r="O73" s="319"/>
      <c r="P73" s="319"/>
      <c r="Q73" s="319"/>
    </row>
    <row r="74" spans="1:17" s="320" customFormat="1" ht="15.75">
      <c r="A74" s="267"/>
      <c r="B74" s="340"/>
      <c r="C74" s="315"/>
      <c r="D74" s="315"/>
      <c r="E74" s="324"/>
      <c r="F74" s="268"/>
      <c r="G74" s="268"/>
      <c r="H74" s="316"/>
      <c r="I74" s="316"/>
      <c r="J74" s="317"/>
      <c r="K74" s="316"/>
      <c r="L74" s="317"/>
      <c r="M74" s="316"/>
      <c r="N74" s="318"/>
      <c r="O74" s="319"/>
      <c r="P74" s="319"/>
      <c r="Q74" s="319"/>
    </row>
    <row r="75" spans="1:17" s="320" customFormat="1" ht="15.75">
      <c r="A75" s="267"/>
      <c r="B75" s="340"/>
      <c r="C75" s="315"/>
      <c r="D75" s="315"/>
      <c r="E75" s="324"/>
      <c r="F75" s="268"/>
      <c r="G75" s="268"/>
      <c r="H75" s="316"/>
      <c r="I75" s="316"/>
      <c r="J75" s="317"/>
      <c r="K75" s="316"/>
      <c r="L75" s="317"/>
      <c r="M75" s="316"/>
      <c r="N75" s="318"/>
      <c r="O75" s="319"/>
      <c r="P75" s="319"/>
      <c r="Q75" s="319"/>
    </row>
    <row r="76" spans="1:17" s="320" customFormat="1" ht="15.75">
      <c r="A76" s="267"/>
      <c r="B76" s="340"/>
      <c r="C76" s="315"/>
      <c r="D76" s="315"/>
      <c r="E76" s="324"/>
      <c r="F76" s="268"/>
      <c r="G76" s="268"/>
      <c r="H76" s="316"/>
      <c r="I76" s="316"/>
      <c r="J76" s="317"/>
      <c r="K76" s="316"/>
      <c r="L76" s="317"/>
      <c r="M76" s="316"/>
      <c r="N76" s="318"/>
      <c r="O76" s="319"/>
      <c r="P76" s="319"/>
      <c r="Q76" s="319"/>
    </row>
    <row r="77" spans="1:17" s="320" customFormat="1" ht="15.75">
      <c r="A77" s="267"/>
      <c r="B77" s="340"/>
      <c r="C77" s="315"/>
      <c r="D77" s="315"/>
      <c r="E77" s="324"/>
      <c r="F77" s="268"/>
      <c r="G77" s="268"/>
      <c r="H77" s="316"/>
      <c r="I77" s="316"/>
      <c r="J77" s="317"/>
      <c r="K77" s="316"/>
      <c r="L77" s="317"/>
      <c r="M77" s="316"/>
      <c r="N77" s="318"/>
      <c r="O77" s="319"/>
      <c r="P77" s="319"/>
      <c r="Q77" s="319"/>
    </row>
    <row r="78" spans="1:17" s="320" customFormat="1" ht="15.75">
      <c r="A78" s="267"/>
      <c r="B78" s="340"/>
      <c r="C78" s="315"/>
      <c r="D78" s="315"/>
      <c r="E78" s="324"/>
      <c r="F78" s="268"/>
      <c r="G78" s="268"/>
      <c r="H78" s="316"/>
      <c r="I78" s="316"/>
      <c r="J78" s="317"/>
      <c r="K78" s="316"/>
      <c r="L78" s="317"/>
      <c r="M78" s="316"/>
      <c r="N78" s="318"/>
      <c r="O78" s="319"/>
      <c r="P78" s="319"/>
      <c r="Q78" s="319"/>
    </row>
    <row r="79" spans="1:17" s="320" customFormat="1" ht="15.75">
      <c r="A79" s="267"/>
      <c r="B79" s="340"/>
      <c r="C79" s="315"/>
      <c r="D79" s="315"/>
      <c r="E79" s="324"/>
      <c r="F79" s="268"/>
      <c r="G79" s="268"/>
      <c r="H79" s="316"/>
      <c r="I79" s="316"/>
      <c r="J79" s="317"/>
      <c r="K79" s="316"/>
      <c r="L79" s="317"/>
      <c r="M79" s="316"/>
      <c r="N79" s="318"/>
      <c r="O79" s="319"/>
      <c r="P79" s="319"/>
      <c r="Q79" s="319"/>
    </row>
    <row r="80" spans="1:17" s="320" customFormat="1" ht="15.75">
      <c r="A80" s="267"/>
      <c r="B80" s="340"/>
      <c r="C80" s="315"/>
      <c r="D80" s="315"/>
      <c r="E80" s="324"/>
      <c r="F80" s="268"/>
      <c r="G80" s="268"/>
      <c r="H80" s="316"/>
      <c r="I80" s="316"/>
      <c r="J80" s="317"/>
      <c r="K80" s="316"/>
      <c r="L80" s="317"/>
      <c r="M80" s="316"/>
      <c r="N80" s="318"/>
      <c r="O80" s="319"/>
      <c r="P80" s="319"/>
      <c r="Q80" s="319"/>
    </row>
    <row r="81" spans="1:17" s="320" customFormat="1" ht="15.75">
      <c r="A81" s="267"/>
      <c r="B81" s="340"/>
      <c r="C81" s="315"/>
      <c r="D81" s="315"/>
      <c r="E81" s="324"/>
      <c r="F81" s="268"/>
      <c r="G81" s="268"/>
      <c r="H81" s="316"/>
      <c r="I81" s="316"/>
      <c r="J81" s="317"/>
      <c r="K81" s="316"/>
      <c r="L81" s="317"/>
      <c r="M81" s="316"/>
      <c r="N81" s="318"/>
      <c r="O81" s="319"/>
      <c r="P81" s="319"/>
      <c r="Q81" s="319"/>
    </row>
    <row r="82" spans="1:17" s="320" customFormat="1" ht="15.75">
      <c r="A82" s="267"/>
      <c r="B82" s="340"/>
      <c r="C82" s="315"/>
      <c r="D82" s="315"/>
      <c r="E82" s="324"/>
      <c r="F82" s="268"/>
      <c r="G82" s="268"/>
      <c r="H82" s="316"/>
      <c r="I82" s="316"/>
      <c r="J82" s="317"/>
      <c r="K82" s="316"/>
      <c r="L82" s="317"/>
      <c r="M82" s="316"/>
      <c r="N82" s="318"/>
      <c r="O82" s="319"/>
      <c r="P82" s="319"/>
      <c r="Q82" s="319"/>
    </row>
    <row r="83" spans="1:17" s="320" customFormat="1" ht="15.75">
      <c r="A83" s="267"/>
      <c r="B83" s="340"/>
      <c r="C83" s="315"/>
      <c r="D83" s="315"/>
      <c r="E83" s="324"/>
      <c r="F83" s="268"/>
      <c r="G83" s="268"/>
      <c r="H83" s="316"/>
      <c r="I83" s="316"/>
      <c r="J83" s="317"/>
      <c r="K83" s="316"/>
      <c r="L83" s="317"/>
      <c r="M83" s="316"/>
      <c r="N83" s="318"/>
      <c r="O83" s="319"/>
      <c r="P83" s="319"/>
      <c r="Q83" s="319"/>
    </row>
    <row r="84" spans="1:17" s="320" customFormat="1" ht="15.75">
      <c r="A84" s="267"/>
      <c r="B84" s="340"/>
      <c r="C84" s="315"/>
      <c r="D84" s="315"/>
      <c r="E84" s="324"/>
      <c r="F84" s="268"/>
      <c r="G84" s="268"/>
      <c r="H84" s="316"/>
      <c r="I84" s="316"/>
      <c r="J84" s="317"/>
      <c r="K84" s="316"/>
      <c r="L84" s="317"/>
      <c r="M84" s="316"/>
      <c r="N84" s="318"/>
      <c r="O84" s="319"/>
      <c r="P84" s="319"/>
      <c r="Q84" s="319"/>
    </row>
    <row r="85" spans="1:17" s="320" customFormat="1" ht="15.75">
      <c r="A85" s="267"/>
      <c r="B85" s="340"/>
      <c r="C85" s="315"/>
      <c r="D85" s="315"/>
      <c r="E85" s="324"/>
      <c r="F85" s="268"/>
      <c r="G85" s="268"/>
      <c r="H85" s="316"/>
      <c r="I85" s="316"/>
      <c r="J85" s="317"/>
      <c r="K85" s="316"/>
      <c r="L85" s="317"/>
      <c r="M85" s="316"/>
      <c r="N85" s="318"/>
      <c r="O85" s="319"/>
      <c r="P85" s="319"/>
      <c r="Q85" s="319"/>
    </row>
    <row r="86" spans="1:17" s="320" customFormat="1" ht="15.75">
      <c r="A86" s="267"/>
      <c r="B86" s="340"/>
      <c r="C86" s="315"/>
      <c r="D86" s="315"/>
      <c r="E86" s="324"/>
      <c r="F86" s="268"/>
      <c r="G86" s="268"/>
      <c r="H86" s="316"/>
      <c r="I86" s="316"/>
      <c r="J86" s="317"/>
      <c r="K86" s="316"/>
      <c r="L86" s="317"/>
      <c r="M86" s="316"/>
      <c r="N86" s="318"/>
      <c r="O86" s="319"/>
      <c r="P86" s="319"/>
      <c r="Q86" s="319"/>
    </row>
    <row r="87" spans="1:17" s="320" customFormat="1" ht="15.75">
      <c r="A87" s="267"/>
      <c r="B87" s="340"/>
      <c r="C87" s="315"/>
      <c r="D87" s="315"/>
      <c r="E87" s="324"/>
      <c r="F87" s="268"/>
      <c r="G87" s="268"/>
      <c r="H87" s="316"/>
      <c r="I87" s="316"/>
      <c r="J87" s="317"/>
      <c r="K87" s="316"/>
      <c r="L87" s="317"/>
      <c r="M87" s="316"/>
      <c r="N87" s="318"/>
      <c r="O87" s="319"/>
      <c r="P87" s="319"/>
      <c r="Q87" s="319"/>
    </row>
    <row r="88" spans="1:17" s="320" customFormat="1" ht="15.75">
      <c r="A88" s="267"/>
      <c r="B88" s="340"/>
      <c r="C88" s="315"/>
      <c r="D88" s="315"/>
      <c r="E88" s="324"/>
      <c r="F88" s="268"/>
      <c r="G88" s="268"/>
      <c r="H88" s="316"/>
      <c r="I88" s="316"/>
      <c r="J88" s="317"/>
      <c r="K88" s="316"/>
      <c r="L88" s="317"/>
      <c r="M88" s="316"/>
      <c r="N88" s="318"/>
      <c r="O88" s="319"/>
      <c r="P88" s="319"/>
      <c r="Q88" s="319"/>
    </row>
    <row r="89" spans="1:17" s="320" customFormat="1" ht="15.75">
      <c r="A89" s="267"/>
      <c r="B89" s="340"/>
      <c r="C89" s="315"/>
      <c r="D89" s="315"/>
      <c r="E89" s="324"/>
      <c r="F89" s="268"/>
      <c r="G89" s="268"/>
      <c r="H89" s="316"/>
      <c r="I89" s="316"/>
      <c r="J89" s="317"/>
      <c r="K89" s="316"/>
      <c r="L89" s="317"/>
      <c r="M89" s="316"/>
      <c r="N89" s="318"/>
      <c r="O89" s="319"/>
      <c r="P89" s="319"/>
      <c r="Q89" s="319"/>
    </row>
    <row r="90" spans="1:17" s="320" customFormat="1" ht="15.75">
      <c r="A90" s="267"/>
      <c r="B90" s="340"/>
      <c r="C90" s="315"/>
      <c r="D90" s="315"/>
      <c r="E90" s="324"/>
      <c r="F90" s="268"/>
      <c r="G90" s="268"/>
      <c r="H90" s="316"/>
      <c r="I90" s="316"/>
      <c r="J90" s="317"/>
      <c r="K90" s="316"/>
      <c r="L90" s="317"/>
      <c r="M90" s="316"/>
      <c r="N90" s="318"/>
      <c r="O90" s="319"/>
      <c r="P90" s="319"/>
      <c r="Q90" s="319"/>
    </row>
    <row r="91" spans="1:17" s="320" customFormat="1" ht="15.75">
      <c r="A91" s="267"/>
      <c r="B91" s="340"/>
      <c r="C91" s="315"/>
      <c r="D91" s="315"/>
      <c r="E91" s="324"/>
      <c r="F91" s="268"/>
      <c r="G91" s="268"/>
      <c r="H91" s="316"/>
      <c r="I91" s="316"/>
      <c r="J91" s="317"/>
      <c r="K91" s="316"/>
      <c r="L91" s="317"/>
      <c r="M91" s="316"/>
      <c r="N91" s="318"/>
      <c r="O91" s="319"/>
      <c r="P91" s="319"/>
      <c r="Q91" s="319"/>
    </row>
    <row r="92" spans="1:17" s="320" customFormat="1" ht="15.75">
      <c r="A92" s="267"/>
      <c r="B92" s="340"/>
      <c r="C92" s="315"/>
      <c r="D92" s="315"/>
      <c r="E92" s="324"/>
      <c r="F92" s="268"/>
      <c r="G92" s="268"/>
      <c r="H92" s="316"/>
      <c r="I92" s="316"/>
      <c r="J92" s="317"/>
      <c r="K92" s="316"/>
      <c r="L92" s="317"/>
      <c r="M92" s="316"/>
      <c r="N92" s="318"/>
      <c r="O92" s="319"/>
      <c r="P92" s="319"/>
      <c r="Q92" s="319"/>
    </row>
    <row r="93" spans="1:17" s="320" customFormat="1" ht="15.75">
      <c r="A93" s="267"/>
      <c r="B93" s="340"/>
      <c r="C93" s="315"/>
      <c r="D93" s="315"/>
      <c r="E93" s="324"/>
      <c r="F93" s="268"/>
      <c r="G93" s="268"/>
      <c r="H93" s="316"/>
      <c r="I93" s="316"/>
      <c r="J93" s="317"/>
      <c r="K93" s="316"/>
      <c r="L93" s="317"/>
      <c r="M93" s="316"/>
      <c r="N93" s="318"/>
      <c r="O93" s="319"/>
      <c r="P93" s="319"/>
      <c r="Q93" s="319"/>
    </row>
    <row r="94" spans="1:17" s="320" customFormat="1" ht="15.75">
      <c r="A94" s="267"/>
      <c r="B94" s="340"/>
      <c r="C94" s="315"/>
      <c r="D94" s="315"/>
      <c r="E94" s="324"/>
      <c r="F94" s="268"/>
      <c r="G94" s="268"/>
      <c r="H94" s="316"/>
      <c r="I94" s="316"/>
      <c r="J94" s="317"/>
      <c r="K94" s="316"/>
      <c r="L94" s="317"/>
      <c r="M94" s="316"/>
      <c r="N94" s="318"/>
      <c r="O94" s="319"/>
      <c r="P94" s="319"/>
      <c r="Q94" s="319"/>
    </row>
    <row r="95" spans="1:17" s="320" customFormat="1" ht="15.75">
      <c r="A95" s="267"/>
      <c r="B95" s="340"/>
      <c r="C95" s="315"/>
      <c r="D95" s="315"/>
      <c r="E95" s="324"/>
      <c r="F95" s="268"/>
      <c r="G95" s="268"/>
      <c r="H95" s="316"/>
      <c r="I95" s="316"/>
      <c r="J95" s="317"/>
      <c r="K95" s="316"/>
      <c r="L95" s="317"/>
      <c r="M95" s="316"/>
      <c r="N95" s="318"/>
      <c r="O95" s="319"/>
      <c r="P95" s="319"/>
      <c r="Q95" s="319"/>
    </row>
    <row r="96" spans="1:17" s="320" customFormat="1" ht="15.75">
      <c r="A96" s="267"/>
      <c r="B96" s="340"/>
      <c r="C96" s="315"/>
      <c r="D96" s="315"/>
      <c r="E96" s="324"/>
      <c r="F96" s="268"/>
      <c r="G96" s="268"/>
      <c r="H96" s="316"/>
      <c r="I96" s="316"/>
      <c r="J96" s="317"/>
      <c r="K96" s="316"/>
      <c r="L96" s="317"/>
      <c r="M96" s="316"/>
      <c r="N96" s="318"/>
      <c r="O96" s="319"/>
      <c r="P96" s="319"/>
      <c r="Q96" s="319"/>
    </row>
    <row r="97" spans="1:17" s="320" customFormat="1" ht="15.75">
      <c r="A97" s="267"/>
      <c r="B97" s="340"/>
      <c r="C97" s="315"/>
      <c r="D97" s="315"/>
      <c r="E97" s="324"/>
      <c r="F97" s="268"/>
      <c r="G97" s="268"/>
      <c r="H97" s="316"/>
      <c r="I97" s="316"/>
      <c r="J97" s="317"/>
      <c r="K97" s="316"/>
      <c r="L97" s="317"/>
      <c r="M97" s="316"/>
      <c r="N97" s="318"/>
      <c r="O97" s="319"/>
      <c r="P97" s="319"/>
      <c r="Q97" s="319"/>
    </row>
    <row r="98" spans="1:17" s="320" customFormat="1" ht="15.75">
      <c r="A98" s="267"/>
      <c r="B98" s="340"/>
      <c r="C98" s="315"/>
      <c r="D98" s="315"/>
      <c r="E98" s="324"/>
      <c r="F98" s="268"/>
      <c r="G98" s="268"/>
      <c r="H98" s="316"/>
      <c r="I98" s="316"/>
      <c r="J98" s="317"/>
      <c r="K98" s="316"/>
      <c r="L98" s="317"/>
      <c r="M98" s="316"/>
      <c r="N98" s="318"/>
      <c r="O98" s="319"/>
      <c r="P98" s="319"/>
      <c r="Q98" s="319"/>
    </row>
    <row r="99" spans="1:17" s="320" customFormat="1" ht="15.75">
      <c r="A99" s="267"/>
      <c r="B99" s="340"/>
      <c r="C99" s="315"/>
      <c r="D99" s="315"/>
      <c r="E99" s="324"/>
      <c r="F99" s="268"/>
      <c r="G99" s="268"/>
      <c r="H99" s="316"/>
      <c r="I99" s="316"/>
      <c r="J99" s="317"/>
      <c r="K99" s="316"/>
      <c r="L99" s="317"/>
      <c r="M99" s="316"/>
      <c r="N99" s="318"/>
      <c r="O99" s="319"/>
      <c r="P99" s="319"/>
      <c r="Q99" s="319"/>
    </row>
    <row r="100" spans="1:17" s="320" customFormat="1" ht="15.75">
      <c r="A100" s="267"/>
      <c r="B100" s="340"/>
      <c r="C100" s="315"/>
      <c r="D100" s="315"/>
      <c r="E100" s="324"/>
      <c r="F100" s="268"/>
      <c r="G100" s="268"/>
      <c r="H100" s="316"/>
      <c r="I100" s="316"/>
      <c r="J100" s="317"/>
      <c r="K100" s="316"/>
      <c r="L100" s="317"/>
      <c r="M100" s="316"/>
      <c r="N100" s="318"/>
      <c r="O100" s="319"/>
      <c r="P100" s="319"/>
      <c r="Q100" s="319"/>
    </row>
    <row r="101" spans="1:17" s="320" customFormat="1" ht="15.75">
      <c r="A101" s="267"/>
      <c r="B101" s="340"/>
      <c r="C101" s="315"/>
      <c r="D101" s="315"/>
      <c r="E101" s="324"/>
      <c r="F101" s="268"/>
      <c r="G101" s="268"/>
      <c r="H101" s="316"/>
      <c r="I101" s="316"/>
      <c r="J101" s="317"/>
      <c r="K101" s="316"/>
      <c r="L101" s="317"/>
      <c r="M101" s="316"/>
      <c r="N101" s="318"/>
      <c r="O101" s="319"/>
      <c r="P101" s="319"/>
      <c r="Q101" s="319"/>
    </row>
    <row r="102" spans="1:17" s="320" customFormat="1" ht="15.75">
      <c r="A102" s="267"/>
      <c r="B102" s="340"/>
      <c r="C102" s="315"/>
      <c r="D102" s="315"/>
      <c r="E102" s="324"/>
      <c r="F102" s="268"/>
      <c r="G102" s="268"/>
      <c r="H102" s="316"/>
      <c r="I102" s="316"/>
      <c r="J102" s="317"/>
      <c r="K102" s="316"/>
      <c r="L102" s="317"/>
      <c r="M102" s="316"/>
      <c r="N102" s="318"/>
      <c r="O102" s="319"/>
      <c r="P102" s="319"/>
      <c r="Q102" s="319"/>
    </row>
    <row r="103" spans="1:17" s="320" customFormat="1" ht="15.75">
      <c r="A103" s="267"/>
      <c r="B103" s="340"/>
      <c r="C103" s="315"/>
      <c r="D103" s="315"/>
      <c r="E103" s="324"/>
      <c r="F103" s="268"/>
      <c r="G103" s="268"/>
      <c r="H103" s="316"/>
      <c r="I103" s="316"/>
      <c r="J103" s="317"/>
      <c r="K103" s="316"/>
      <c r="L103" s="317"/>
      <c r="M103" s="316"/>
      <c r="N103" s="318"/>
      <c r="O103" s="319"/>
      <c r="P103" s="319"/>
      <c r="Q103" s="319"/>
    </row>
    <row r="104" spans="1:17" s="320" customFormat="1" ht="15.75">
      <c r="A104" s="267"/>
      <c r="B104" s="340"/>
      <c r="C104" s="315"/>
      <c r="D104" s="315"/>
      <c r="E104" s="324"/>
      <c r="F104" s="268"/>
      <c r="G104" s="268"/>
      <c r="H104" s="316"/>
      <c r="I104" s="316"/>
      <c r="J104" s="317"/>
      <c r="K104" s="316"/>
      <c r="L104" s="317"/>
      <c r="M104" s="316"/>
      <c r="N104" s="318"/>
      <c r="O104" s="319"/>
      <c r="P104" s="319"/>
      <c r="Q104" s="319"/>
    </row>
    <row r="105" spans="1:17" s="320" customFormat="1" ht="15.75">
      <c r="A105" s="267"/>
      <c r="B105" s="340"/>
      <c r="C105" s="315"/>
      <c r="D105" s="315"/>
      <c r="E105" s="324"/>
      <c r="F105" s="268"/>
      <c r="G105" s="268"/>
      <c r="H105" s="316"/>
      <c r="I105" s="316"/>
      <c r="J105" s="317"/>
      <c r="K105" s="316"/>
      <c r="L105" s="317"/>
      <c r="M105" s="316"/>
      <c r="N105" s="318"/>
      <c r="O105" s="319"/>
      <c r="P105" s="319"/>
      <c r="Q105" s="319"/>
    </row>
    <row r="106" spans="1:17" s="320" customFormat="1" ht="15.75">
      <c r="A106" s="267"/>
      <c r="B106" s="340"/>
      <c r="C106" s="315"/>
      <c r="D106" s="315"/>
      <c r="E106" s="324"/>
      <c r="F106" s="268"/>
      <c r="G106" s="268"/>
      <c r="H106" s="316"/>
      <c r="I106" s="316"/>
      <c r="J106" s="317"/>
      <c r="K106" s="316"/>
      <c r="L106" s="317"/>
      <c r="M106" s="316"/>
      <c r="N106" s="318"/>
      <c r="O106" s="319"/>
      <c r="P106" s="319"/>
      <c r="Q106" s="319"/>
    </row>
    <row r="107" spans="1:17" s="320" customFormat="1" ht="15.75">
      <c r="A107" s="267"/>
      <c r="B107" s="340"/>
      <c r="C107" s="315"/>
      <c r="D107" s="315"/>
      <c r="E107" s="324"/>
      <c r="F107" s="268"/>
      <c r="G107" s="268"/>
      <c r="H107" s="316"/>
      <c r="I107" s="316"/>
      <c r="J107" s="317"/>
      <c r="K107" s="316"/>
      <c r="L107" s="317"/>
      <c r="M107" s="316"/>
      <c r="N107" s="318"/>
      <c r="O107" s="319"/>
      <c r="P107" s="319"/>
      <c r="Q107" s="319"/>
    </row>
    <row r="108" spans="1:17" s="320" customFormat="1" ht="15.75">
      <c r="A108" s="267"/>
      <c r="B108" s="340"/>
      <c r="C108" s="315"/>
      <c r="D108" s="315"/>
      <c r="E108" s="324"/>
      <c r="F108" s="268"/>
      <c r="G108" s="268"/>
      <c r="H108" s="316"/>
      <c r="I108" s="316"/>
      <c r="J108" s="317"/>
      <c r="K108" s="316"/>
      <c r="L108" s="317"/>
      <c r="M108" s="316"/>
      <c r="N108" s="318"/>
      <c r="O108" s="319"/>
      <c r="P108" s="319"/>
      <c r="Q108" s="319"/>
    </row>
    <row r="109" spans="1:17" s="320" customFormat="1" ht="15.75">
      <c r="A109" s="267"/>
      <c r="B109" s="340"/>
      <c r="C109" s="315"/>
      <c r="D109" s="315"/>
      <c r="E109" s="324"/>
      <c r="F109" s="268"/>
      <c r="G109" s="268"/>
      <c r="H109" s="316"/>
      <c r="I109" s="316"/>
      <c r="J109" s="317"/>
      <c r="K109" s="316"/>
      <c r="L109" s="317"/>
      <c r="M109" s="316"/>
      <c r="N109" s="318"/>
      <c r="O109" s="319"/>
      <c r="P109" s="319"/>
      <c r="Q109" s="319"/>
    </row>
    <row r="110" spans="1:17" s="320" customFormat="1" ht="15.75">
      <c r="A110" s="267"/>
      <c r="B110" s="340"/>
      <c r="C110" s="315"/>
      <c r="D110" s="315"/>
      <c r="E110" s="324"/>
      <c r="F110" s="268"/>
      <c r="G110" s="268"/>
      <c r="H110" s="316"/>
      <c r="I110" s="316"/>
      <c r="J110" s="317"/>
      <c r="K110" s="316"/>
      <c r="L110" s="317"/>
      <c r="M110" s="316"/>
      <c r="N110" s="318"/>
      <c r="O110" s="319"/>
      <c r="P110" s="319"/>
      <c r="Q110" s="319"/>
    </row>
    <row r="111" spans="1:17" s="320" customFormat="1" ht="15.75">
      <c r="A111" s="267"/>
      <c r="B111" s="340"/>
      <c r="C111" s="315"/>
      <c r="D111" s="315"/>
      <c r="E111" s="324"/>
      <c r="F111" s="268"/>
      <c r="G111" s="268"/>
      <c r="H111" s="316"/>
      <c r="I111" s="316"/>
      <c r="J111" s="317"/>
      <c r="K111" s="316"/>
      <c r="L111" s="317"/>
      <c r="M111" s="316"/>
      <c r="N111" s="318"/>
      <c r="O111" s="319"/>
      <c r="P111" s="319"/>
      <c r="Q111" s="319"/>
    </row>
    <row r="112" spans="1:17" s="320" customFormat="1" ht="15.75">
      <c r="A112" s="267"/>
      <c r="B112" s="340"/>
      <c r="C112" s="315"/>
      <c r="D112" s="315"/>
      <c r="E112" s="324"/>
      <c r="F112" s="268"/>
      <c r="G112" s="268"/>
      <c r="H112" s="316"/>
      <c r="I112" s="316"/>
      <c r="J112" s="317"/>
      <c r="K112" s="316"/>
      <c r="L112" s="317"/>
      <c r="M112" s="316"/>
      <c r="N112" s="318"/>
      <c r="O112" s="319"/>
      <c r="P112" s="319"/>
      <c r="Q112" s="319"/>
    </row>
    <row r="113" spans="1:17" s="320" customFormat="1" ht="15.75">
      <c r="A113" s="267"/>
      <c r="B113" s="340"/>
      <c r="C113" s="315"/>
      <c r="D113" s="315"/>
      <c r="E113" s="324"/>
      <c r="F113" s="268"/>
      <c r="G113" s="268"/>
      <c r="H113" s="316"/>
      <c r="I113" s="316"/>
      <c r="J113" s="317"/>
      <c r="K113" s="316"/>
      <c r="L113" s="317"/>
      <c r="M113" s="316"/>
      <c r="N113" s="318"/>
      <c r="O113" s="319"/>
      <c r="P113" s="319"/>
      <c r="Q113" s="319"/>
    </row>
    <row r="114" spans="1:17" s="320" customFormat="1" ht="15.75">
      <c r="A114" s="267"/>
      <c r="B114" s="340"/>
      <c r="C114" s="315"/>
      <c r="D114" s="315"/>
      <c r="E114" s="324"/>
      <c r="F114" s="268"/>
      <c r="G114" s="268"/>
      <c r="H114" s="316"/>
      <c r="I114" s="316"/>
      <c r="J114" s="317"/>
      <c r="K114" s="316"/>
      <c r="L114" s="317"/>
      <c r="M114" s="316"/>
      <c r="N114" s="318"/>
      <c r="O114" s="319"/>
      <c r="P114" s="319"/>
      <c r="Q114" s="319"/>
    </row>
    <row r="115" spans="1:17" s="320" customFormat="1" ht="15.75">
      <c r="A115" s="267"/>
      <c r="B115" s="340"/>
      <c r="C115" s="315"/>
      <c r="D115" s="315"/>
      <c r="E115" s="324"/>
      <c r="F115" s="268"/>
      <c r="G115" s="268"/>
      <c r="H115" s="316"/>
      <c r="I115" s="316"/>
      <c r="J115" s="317"/>
      <c r="K115" s="316"/>
      <c r="L115" s="317"/>
      <c r="M115" s="316"/>
      <c r="N115" s="318"/>
      <c r="O115" s="319"/>
      <c r="P115" s="319"/>
      <c r="Q115" s="319"/>
    </row>
    <row r="116" spans="1:17" s="320" customFormat="1" ht="15.75">
      <c r="A116" s="267"/>
      <c r="B116" s="340"/>
      <c r="C116" s="315"/>
      <c r="D116" s="315"/>
      <c r="E116" s="324"/>
      <c r="F116" s="268"/>
      <c r="G116" s="268"/>
      <c r="H116" s="316"/>
      <c r="I116" s="316"/>
      <c r="J116" s="317"/>
      <c r="K116" s="316"/>
      <c r="L116" s="317"/>
      <c r="M116" s="316"/>
      <c r="N116" s="318"/>
      <c r="O116" s="319"/>
      <c r="P116" s="319"/>
      <c r="Q116" s="319"/>
    </row>
    <row r="117" spans="1:17" s="320" customFormat="1" ht="15.75">
      <c r="A117" s="267"/>
      <c r="B117" s="340"/>
      <c r="C117" s="315"/>
      <c r="D117" s="315"/>
      <c r="E117" s="324"/>
      <c r="F117" s="268"/>
      <c r="G117" s="268"/>
      <c r="H117" s="316"/>
      <c r="I117" s="316"/>
      <c r="J117" s="317"/>
      <c r="K117" s="316"/>
      <c r="L117" s="317"/>
      <c r="M117" s="316"/>
      <c r="N117" s="318"/>
      <c r="O117" s="319"/>
      <c r="P117" s="319"/>
      <c r="Q117" s="319"/>
    </row>
    <row r="118" spans="1:17" s="320" customFormat="1" ht="15.75">
      <c r="A118" s="267"/>
      <c r="B118" s="340"/>
      <c r="C118" s="315"/>
      <c r="D118" s="315"/>
      <c r="E118" s="324"/>
      <c r="F118" s="268"/>
      <c r="G118" s="268"/>
      <c r="H118" s="316"/>
      <c r="I118" s="316"/>
      <c r="J118" s="317"/>
      <c r="K118" s="316"/>
      <c r="L118" s="317"/>
      <c r="M118" s="316"/>
      <c r="N118" s="318"/>
      <c r="O118" s="319"/>
      <c r="P118" s="319"/>
      <c r="Q118" s="319"/>
    </row>
    <row r="119" spans="1:17" s="320" customFormat="1" ht="15.75">
      <c r="A119" s="267"/>
      <c r="B119" s="340"/>
      <c r="C119" s="315"/>
      <c r="D119" s="315"/>
      <c r="E119" s="324"/>
      <c r="F119" s="268"/>
      <c r="G119" s="268"/>
      <c r="H119" s="316"/>
      <c r="I119" s="316"/>
      <c r="J119" s="317"/>
      <c r="K119" s="316"/>
      <c r="L119" s="317"/>
      <c r="M119" s="316"/>
      <c r="N119" s="318"/>
      <c r="O119" s="319"/>
      <c r="P119" s="319"/>
      <c r="Q119" s="319"/>
    </row>
    <row r="120" spans="1:17" s="320" customFormat="1" ht="15.75">
      <c r="A120" s="267"/>
      <c r="B120" s="340"/>
      <c r="C120" s="315"/>
      <c r="D120" s="315"/>
      <c r="E120" s="324"/>
      <c r="F120" s="268"/>
      <c r="G120" s="268"/>
      <c r="H120" s="316"/>
      <c r="I120" s="316"/>
      <c r="J120" s="317"/>
      <c r="K120" s="316"/>
      <c r="L120" s="317"/>
      <c r="M120" s="316"/>
      <c r="N120" s="318"/>
      <c r="O120" s="319"/>
      <c r="P120" s="319"/>
      <c r="Q120" s="319"/>
    </row>
    <row r="121" spans="1:17" s="320" customFormat="1" ht="15.75">
      <c r="A121" s="267"/>
      <c r="B121" s="340"/>
      <c r="C121" s="315"/>
      <c r="D121" s="315"/>
      <c r="E121" s="324"/>
      <c r="F121" s="268"/>
      <c r="G121" s="268"/>
      <c r="H121" s="316"/>
      <c r="I121" s="316"/>
      <c r="J121" s="317"/>
      <c r="K121" s="316"/>
      <c r="L121" s="317"/>
      <c r="M121" s="316"/>
      <c r="N121" s="318"/>
      <c r="O121" s="319"/>
      <c r="P121" s="319"/>
      <c r="Q121" s="319"/>
    </row>
    <row r="122" spans="1:17" s="320" customFormat="1" ht="15.75">
      <c r="A122" s="267"/>
      <c r="B122" s="340"/>
      <c r="C122" s="315"/>
      <c r="D122" s="315"/>
      <c r="E122" s="324"/>
      <c r="F122" s="268"/>
      <c r="G122" s="268"/>
      <c r="H122" s="316"/>
      <c r="I122" s="316"/>
      <c r="J122" s="317"/>
      <c r="K122" s="316"/>
      <c r="L122" s="317"/>
      <c r="M122" s="316"/>
      <c r="N122" s="318"/>
      <c r="O122" s="319"/>
      <c r="P122" s="319"/>
      <c r="Q122" s="319"/>
    </row>
    <row r="123" spans="1:17" s="320" customFormat="1" ht="15.75">
      <c r="A123" s="267"/>
      <c r="B123" s="340"/>
      <c r="C123" s="315"/>
      <c r="D123" s="315"/>
      <c r="E123" s="324"/>
      <c r="F123" s="268"/>
      <c r="G123" s="268"/>
      <c r="H123" s="316"/>
      <c r="I123" s="316"/>
      <c r="J123" s="317"/>
      <c r="K123" s="316"/>
      <c r="L123" s="317"/>
      <c r="M123" s="316"/>
      <c r="N123" s="318"/>
      <c r="O123" s="319"/>
      <c r="P123" s="319"/>
      <c r="Q123" s="319"/>
    </row>
    <row r="124" spans="1:17" s="320" customFormat="1" ht="15.75">
      <c r="A124" s="267"/>
      <c r="B124" s="340"/>
      <c r="C124" s="315"/>
      <c r="D124" s="315"/>
      <c r="E124" s="324"/>
      <c r="F124" s="268"/>
      <c r="G124" s="268"/>
      <c r="H124" s="316"/>
      <c r="I124" s="316"/>
      <c r="J124" s="317"/>
      <c r="K124" s="316"/>
      <c r="L124" s="317"/>
      <c r="M124" s="316"/>
      <c r="N124" s="318"/>
      <c r="O124" s="319"/>
      <c r="P124" s="319"/>
      <c r="Q124" s="319"/>
    </row>
    <row r="125" spans="1:17" s="320" customFormat="1" ht="15.75">
      <c r="A125" s="267"/>
      <c r="B125" s="340"/>
      <c r="C125" s="315"/>
      <c r="D125" s="315"/>
      <c r="E125" s="324"/>
      <c r="F125" s="268"/>
      <c r="G125" s="268"/>
      <c r="H125" s="316"/>
      <c r="I125" s="316"/>
      <c r="J125" s="317"/>
      <c r="K125" s="316"/>
      <c r="L125" s="317"/>
      <c r="M125" s="316"/>
      <c r="N125" s="318"/>
      <c r="O125" s="319"/>
      <c r="P125" s="319"/>
      <c r="Q125" s="319"/>
    </row>
    <row r="126" spans="1:17" s="320" customFormat="1" ht="15.75">
      <c r="A126" s="267"/>
      <c r="B126" s="340"/>
      <c r="C126" s="315"/>
      <c r="D126" s="315"/>
      <c r="E126" s="324"/>
      <c r="F126" s="268"/>
      <c r="G126" s="268"/>
      <c r="H126" s="316"/>
      <c r="I126" s="316"/>
      <c r="J126" s="317"/>
      <c r="K126" s="316"/>
      <c r="L126" s="317"/>
      <c r="M126" s="316"/>
      <c r="N126" s="318"/>
      <c r="O126" s="319"/>
      <c r="P126" s="319"/>
      <c r="Q126" s="319"/>
    </row>
    <row r="127" spans="1:17" s="320" customFormat="1" ht="15.75">
      <c r="A127" s="267"/>
      <c r="B127" s="340"/>
      <c r="C127" s="315"/>
      <c r="D127" s="315"/>
      <c r="E127" s="324"/>
      <c r="F127" s="268"/>
      <c r="G127" s="268"/>
      <c r="H127" s="316"/>
      <c r="I127" s="316"/>
      <c r="J127" s="317"/>
      <c r="K127" s="316"/>
      <c r="L127" s="317"/>
      <c r="M127" s="316"/>
      <c r="N127" s="318"/>
      <c r="O127" s="319"/>
      <c r="P127" s="319"/>
      <c r="Q127" s="319"/>
    </row>
    <row r="128" spans="1:17" s="320" customFormat="1" ht="15.75">
      <c r="A128" s="267"/>
      <c r="B128" s="340"/>
      <c r="C128" s="315"/>
      <c r="D128" s="315"/>
      <c r="E128" s="324"/>
      <c r="F128" s="268"/>
      <c r="G128" s="268"/>
      <c r="H128" s="316"/>
      <c r="I128" s="316"/>
      <c r="J128" s="317"/>
      <c r="K128" s="316"/>
      <c r="L128" s="317"/>
      <c r="M128" s="316"/>
      <c r="N128" s="318"/>
      <c r="O128" s="319"/>
      <c r="P128" s="319"/>
      <c r="Q128" s="319"/>
    </row>
    <row r="129" spans="1:17" s="320" customFormat="1" ht="15.75">
      <c r="A129" s="267"/>
      <c r="B129" s="340"/>
      <c r="C129" s="315"/>
      <c r="D129" s="315"/>
      <c r="E129" s="324"/>
      <c r="F129" s="268"/>
      <c r="G129" s="268"/>
      <c r="H129" s="316"/>
      <c r="I129" s="316"/>
      <c r="J129" s="317"/>
      <c r="K129" s="316"/>
      <c r="L129" s="317"/>
      <c r="M129" s="316"/>
      <c r="N129" s="318"/>
      <c r="O129" s="319"/>
      <c r="P129" s="319"/>
      <c r="Q129" s="319"/>
    </row>
    <row r="130" spans="1:17" s="320" customFormat="1" ht="15.75">
      <c r="A130" s="267"/>
      <c r="B130" s="340"/>
      <c r="C130" s="315"/>
      <c r="D130" s="315"/>
      <c r="E130" s="324"/>
      <c r="F130" s="268"/>
      <c r="G130" s="268"/>
      <c r="H130" s="316"/>
      <c r="I130" s="316"/>
      <c r="J130" s="317"/>
      <c r="K130" s="316"/>
      <c r="L130" s="317"/>
      <c r="M130" s="316"/>
      <c r="N130" s="318"/>
      <c r="O130" s="319"/>
      <c r="P130" s="319"/>
      <c r="Q130" s="319"/>
    </row>
    <row r="131" spans="1:17" s="320" customFormat="1" ht="15.75">
      <c r="A131" s="267"/>
      <c r="B131" s="340"/>
      <c r="C131" s="315"/>
      <c r="D131" s="315"/>
      <c r="E131" s="324"/>
      <c r="F131" s="268"/>
      <c r="G131" s="268"/>
      <c r="H131" s="316"/>
      <c r="I131" s="316"/>
      <c r="J131" s="317"/>
      <c r="K131" s="316"/>
      <c r="L131" s="317"/>
      <c r="M131" s="316"/>
      <c r="N131" s="318"/>
      <c r="O131" s="319"/>
      <c r="P131" s="319"/>
      <c r="Q131" s="319"/>
    </row>
    <row r="132" spans="1:17" s="320" customFormat="1" ht="15.75">
      <c r="A132" s="267"/>
      <c r="B132" s="340"/>
      <c r="C132" s="315"/>
      <c r="D132" s="315"/>
      <c r="E132" s="324"/>
      <c r="F132" s="268"/>
      <c r="G132" s="268"/>
      <c r="H132" s="316"/>
      <c r="I132" s="316"/>
      <c r="J132" s="317"/>
      <c r="K132" s="316"/>
      <c r="L132" s="317"/>
      <c r="M132" s="316"/>
      <c r="N132" s="318"/>
      <c r="O132" s="319"/>
      <c r="P132" s="319"/>
      <c r="Q132" s="319"/>
    </row>
    <row r="133" spans="1:17" s="320" customFormat="1" ht="15.75">
      <c r="A133" s="267"/>
      <c r="B133" s="340"/>
      <c r="C133" s="315"/>
      <c r="D133" s="315"/>
      <c r="E133" s="324"/>
      <c r="F133" s="268"/>
      <c r="G133" s="268"/>
      <c r="H133" s="316"/>
      <c r="I133" s="316"/>
      <c r="J133" s="317"/>
      <c r="K133" s="316"/>
      <c r="L133" s="317"/>
      <c r="M133" s="316"/>
      <c r="N133" s="318"/>
      <c r="O133" s="319"/>
      <c r="P133" s="319"/>
      <c r="Q133" s="319"/>
    </row>
    <row r="134" spans="1:17" s="320" customFormat="1" ht="15.75">
      <c r="A134" s="267"/>
      <c r="B134" s="340"/>
      <c r="C134" s="315"/>
      <c r="D134" s="315"/>
      <c r="E134" s="324"/>
      <c r="F134" s="268"/>
      <c r="G134" s="268"/>
      <c r="H134" s="316"/>
      <c r="I134" s="316"/>
      <c r="J134" s="317"/>
      <c r="K134" s="316"/>
      <c r="L134" s="317"/>
      <c r="M134" s="316"/>
      <c r="N134" s="318"/>
      <c r="O134" s="319"/>
      <c r="P134" s="319"/>
      <c r="Q134" s="319"/>
    </row>
    <row r="135" spans="1:17" s="320" customFormat="1" ht="15.75">
      <c r="A135" s="267"/>
      <c r="B135" s="340"/>
      <c r="C135" s="315"/>
      <c r="D135" s="315"/>
      <c r="E135" s="324"/>
      <c r="F135" s="268"/>
      <c r="G135" s="268"/>
      <c r="H135" s="316"/>
      <c r="I135" s="316"/>
      <c r="J135" s="317"/>
      <c r="K135" s="316"/>
      <c r="L135" s="317"/>
      <c r="M135" s="316"/>
      <c r="N135" s="318"/>
      <c r="O135" s="319"/>
      <c r="P135" s="319"/>
      <c r="Q135" s="319"/>
    </row>
    <row r="136" spans="1:17" s="320" customFormat="1" ht="15.75">
      <c r="A136" s="267"/>
      <c r="B136" s="340"/>
      <c r="C136" s="315"/>
      <c r="D136" s="315"/>
      <c r="E136" s="324"/>
      <c r="F136" s="268"/>
      <c r="G136" s="268"/>
      <c r="H136" s="316"/>
      <c r="I136" s="316"/>
      <c r="J136" s="317"/>
      <c r="K136" s="316"/>
      <c r="L136" s="317"/>
      <c r="M136" s="316"/>
      <c r="N136" s="318"/>
      <c r="O136" s="319"/>
      <c r="P136" s="319"/>
      <c r="Q136" s="319"/>
    </row>
    <row r="137" spans="1:17" s="320" customFormat="1" ht="15.75">
      <c r="A137" s="267"/>
      <c r="B137" s="340"/>
      <c r="C137" s="315"/>
      <c r="D137" s="315"/>
      <c r="E137" s="324"/>
      <c r="F137" s="268"/>
      <c r="G137" s="268"/>
      <c r="H137" s="316"/>
      <c r="I137" s="316"/>
      <c r="J137" s="317"/>
      <c r="K137" s="316"/>
      <c r="L137" s="317"/>
      <c r="M137" s="316"/>
      <c r="N137" s="318"/>
      <c r="O137" s="319"/>
      <c r="P137" s="319"/>
      <c r="Q137" s="319"/>
    </row>
    <row r="138" spans="1:17" s="320" customFormat="1" ht="15.75">
      <c r="A138" s="267"/>
      <c r="B138" s="340"/>
      <c r="C138" s="315"/>
      <c r="D138" s="315"/>
      <c r="E138" s="324"/>
      <c r="F138" s="268"/>
      <c r="G138" s="268"/>
      <c r="H138" s="316"/>
      <c r="I138" s="316"/>
      <c r="J138" s="317"/>
      <c r="K138" s="316"/>
      <c r="L138" s="317"/>
      <c r="M138" s="316"/>
      <c r="N138" s="318"/>
      <c r="O138" s="319"/>
      <c r="P138" s="319"/>
      <c r="Q138" s="319"/>
    </row>
    <row r="139" spans="1:17" s="320" customFormat="1" ht="15.75">
      <c r="A139" s="267"/>
      <c r="B139" s="340"/>
      <c r="C139" s="315"/>
      <c r="D139" s="315"/>
      <c r="E139" s="324"/>
      <c r="F139" s="268"/>
      <c r="G139" s="268"/>
      <c r="H139" s="316"/>
      <c r="I139" s="316"/>
      <c r="J139" s="317"/>
      <c r="K139" s="316"/>
      <c r="L139" s="317"/>
      <c r="M139" s="316"/>
      <c r="N139" s="318"/>
      <c r="O139" s="319"/>
      <c r="P139" s="319"/>
      <c r="Q139" s="319"/>
    </row>
    <row r="140" spans="1:17" s="320" customFormat="1" ht="15.75">
      <c r="A140" s="313"/>
      <c r="B140" s="341"/>
      <c r="C140" s="319"/>
      <c r="D140" s="319"/>
      <c r="E140" s="333"/>
      <c r="F140" s="292"/>
      <c r="G140" s="292"/>
      <c r="H140" s="318"/>
      <c r="I140" s="318"/>
      <c r="J140" s="321"/>
      <c r="K140" s="318"/>
      <c r="L140" s="321"/>
      <c r="M140" s="318"/>
      <c r="N140" s="318"/>
      <c r="O140" s="319"/>
      <c r="P140" s="319"/>
      <c r="Q140" s="319"/>
    </row>
    <row r="141" spans="1:17" s="320" customFormat="1" ht="15.75">
      <c r="A141" s="313"/>
      <c r="B141" s="341"/>
      <c r="C141" s="319"/>
      <c r="D141" s="319"/>
      <c r="E141" s="333"/>
      <c r="F141" s="292"/>
      <c r="G141" s="292"/>
      <c r="H141" s="318"/>
      <c r="I141" s="318"/>
      <c r="J141" s="321"/>
      <c r="K141" s="318"/>
      <c r="L141" s="321"/>
      <c r="M141" s="318"/>
      <c r="N141" s="318"/>
      <c r="O141" s="319"/>
      <c r="P141" s="319"/>
      <c r="Q141" s="319"/>
    </row>
    <row r="142" spans="1:17" s="320" customFormat="1" ht="15.75">
      <c r="A142" s="313"/>
      <c r="B142" s="341"/>
      <c r="C142" s="319"/>
      <c r="D142" s="319"/>
      <c r="E142" s="333"/>
      <c r="F142" s="292"/>
      <c r="G142" s="292"/>
      <c r="H142" s="318"/>
      <c r="I142" s="318"/>
      <c r="J142" s="321"/>
      <c r="K142" s="318"/>
      <c r="L142" s="321"/>
      <c r="M142" s="318"/>
      <c r="N142" s="318"/>
      <c r="O142" s="319"/>
      <c r="P142" s="319"/>
      <c r="Q142" s="319"/>
    </row>
    <row r="143" spans="1:17" s="320" customFormat="1" ht="15.75">
      <c r="A143" s="313"/>
      <c r="B143" s="341"/>
      <c r="C143" s="319"/>
      <c r="D143" s="319"/>
      <c r="E143" s="333"/>
      <c r="F143" s="292"/>
      <c r="G143" s="292"/>
      <c r="H143" s="318"/>
      <c r="I143" s="318"/>
      <c r="J143" s="321"/>
      <c r="K143" s="318"/>
      <c r="L143" s="321"/>
      <c r="M143" s="318"/>
      <c r="N143" s="318"/>
      <c r="O143" s="319"/>
      <c r="P143" s="319"/>
      <c r="Q143" s="319"/>
    </row>
    <row r="187" spans="1:14" ht="15.75">
      <c r="A187" s="319"/>
      <c r="B187" s="333"/>
      <c r="C187" s="322"/>
      <c r="D187" s="322"/>
      <c r="H187" s="292"/>
      <c r="I187" s="292"/>
      <c r="J187" s="298"/>
      <c r="K187" s="292"/>
      <c r="L187" s="298"/>
      <c r="M187" s="292"/>
      <c r="N187" s="292"/>
    </row>
    <row r="188" spans="1:14" ht="15.75">
      <c r="A188" s="319"/>
      <c r="B188" s="333"/>
      <c r="C188" s="322"/>
      <c r="D188" s="322"/>
      <c r="H188" s="292"/>
      <c r="I188" s="292"/>
      <c r="J188" s="298"/>
      <c r="K188" s="292"/>
      <c r="L188" s="298"/>
      <c r="M188" s="292"/>
      <c r="N188" s="292"/>
    </row>
    <row r="189" spans="1:14" ht="15.75">
      <c r="A189" s="319"/>
      <c r="B189" s="333"/>
      <c r="C189" s="322"/>
      <c r="D189" s="322"/>
      <c r="H189" s="292"/>
      <c r="I189" s="292"/>
      <c r="J189" s="298"/>
      <c r="K189" s="292"/>
      <c r="L189" s="298"/>
      <c r="M189" s="292"/>
      <c r="N189" s="292"/>
    </row>
    <row r="190" spans="1:14" ht="15.75">
      <c r="A190" s="319"/>
      <c r="B190" s="333"/>
      <c r="C190" s="322"/>
      <c r="D190" s="322"/>
      <c r="H190" s="292"/>
      <c r="I190" s="292"/>
      <c r="J190" s="298"/>
      <c r="K190" s="292"/>
      <c r="L190" s="298"/>
      <c r="M190" s="292"/>
      <c r="N190" s="292"/>
    </row>
    <row r="191" spans="1:14" ht="15.75">
      <c r="A191" s="319"/>
      <c r="B191" s="333"/>
      <c r="C191" s="322"/>
      <c r="D191" s="322"/>
      <c r="H191" s="292"/>
      <c r="I191" s="292"/>
      <c r="J191" s="298"/>
      <c r="K191" s="292"/>
      <c r="L191" s="298"/>
      <c r="M191" s="292"/>
      <c r="N191" s="292"/>
    </row>
    <row r="192" spans="1:14" ht="15.75">
      <c r="A192" s="319"/>
      <c r="B192" s="333"/>
      <c r="C192" s="322"/>
      <c r="D192" s="322"/>
      <c r="H192" s="292"/>
      <c r="I192" s="292"/>
      <c r="J192" s="298"/>
      <c r="K192" s="292"/>
      <c r="L192" s="298"/>
      <c r="M192" s="292"/>
      <c r="N192" s="292"/>
    </row>
    <row r="193" spans="1:14" ht="15.75">
      <c r="A193" s="319"/>
      <c r="B193" s="333"/>
      <c r="C193" s="322"/>
      <c r="D193" s="322"/>
      <c r="H193" s="292"/>
      <c r="I193" s="292"/>
      <c r="J193" s="298"/>
      <c r="K193" s="292"/>
      <c r="L193" s="298"/>
      <c r="M193" s="292"/>
      <c r="N193" s="292"/>
    </row>
    <row r="194" spans="1:14" ht="15.75">
      <c r="A194" s="319"/>
      <c r="B194" s="333"/>
      <c r="C194" s="322"/>
      <c r="D194" s="322"/>
      <c r="H194" s="292"/>
      <c r="I194" s="292"/>
      <c r="J194" s="298"/>
      <c r="K194" s="292"/>
      <c r="L194" s="298"/>
      <c r="M194" s="292"/>
      <c r="N194" s="292"/>
    </row>
    <row r="195" spans="1:14" ht="15.75">
      <c r="A195" s="319"/>
      <c r="B195" s="333"/>
      <c r="C195" s="322"/>
      <c r="D195" s="322"/>
      <c r="H195" s="292"/>
      <c r="I195" s="292"/>
      <c r="J195" s="298"/>
      <c r="K195" s="292"/>
      <c r="L195" s="298"/>
      <c r="M195" s="292"/>
      <c r="N195" s="292"/>
    </row>
    <row r="196" spans="1:14" ht="15.75">
      <c r="A196" s="319"/>
      <c r="B196" s="333"/>
      <c r="C196" s="322"/>
      <c r="D196" s="322"/>
      <c r="H196" s="292"/>
      <c r="I196" s="292"/>
      <c r="J196" s="298"/>
      <c r="K196" s="292"/>
      <c r="L196" s="298"/>
      <c r="M196" s="292"/>
      <c r="N196" s="292"/>
    </row>
    <row r="197" spans="1:14" ht="15.75">
      <c r="A197" s="319"/>
      <c r="B197" s="333"/>
      <c r="C197" s="322"/>
      <c r="D197" s="322"/>
      <c r="H197" s="292"/>
      <c r="I197" s="292"/>
      <c r="J197" s="298"/>
      <c r="K197" s="292"/>
      <c r="L197" s="298"/>
      <c r="M197" s="292"/>
      <c r="N197" s="292"/>
    </row>
    <row r="198" spans="1:14" ht="15.75">
      <c r="A198" s="319"/>
      <c r="B198" s="333"/>
      <c r="C198" s="322"/>
      <c r="D198" s="322"/>
      <c r="H198" s="292"/>
      <c r="I198" s="292"/>
      <c r="J198" s="298"/>
      <c r="K198" s="292"/>
      <c r="L198" s="298"/>
      <c r="M198" s="292"/>
      <c r="N198" s="292"/>
    </row>
    <row r="199" spans="1:14" ht="15.75">
      <c r="A199" s="319"/>
      <c r="B199" s="333"/>
      <c r="C199" s="322"/>
      <c r="D199" s="322"/>
      <c r="H199" s="292"/>
      <c r="I199" s="292"/>
      <c r="J199" s="298"/>
      <c r="K199" s="292"/>
      <c r="L199" s="298"/>
      <c r="M199" s="292"/>
      <c r="N199" s="292"/>
    </row>
    <row r="200" spans="1:14" ht="15.75">
      <c r="A200" s="319"/>
      <c r="B200" s="333"/>
      <c r="C200" s="322"/>
      <c r="D200" s="322"/>
      <c r="H200" s="292"/>
      <c r="I200" s="292"/>
      <c r="J200" s="298"/>
      <c r="K200" s="292"/>
      <c r="L200" s="298"/>
      <c r="M200" s="292"/>
      <c r="N200" s="292"/>
    </row>
    <row r="201" spans="1:14" ht="15.75">
      <c r="A201" s="319"/>
      <c r="B201" s="333"/>
      <c r="C201" s="322"/>
      <c r="D201" s="322"/>
      <c r="H201" s="292"/>
      <c r="I201" s="292"/>
      <c r="J201" s="298"/>
      <c r="K201" s="292"/>
      <c r="L201" s="298"/>
      <c r="M201" s="292"/>
      <c r="N201" s="292"/>
    </row>
    <row r="202" spans="1:14" ht="15.75">
      <c r="A202" s="319"/>
      <c r="B202" s="333"/>
      <c r="C202" s="322"/>
      <c r="D202" s="322"/>
      <c r="H202" s="292"/>
      <c r="I202" s="292"/>
      <c r="J202" s="298"/>
      <c r="K202" s="292"/>
      <c r="L202" s="298"/>
      <c r="M202" s="292"/>
      <c r="N202" s="292"/>
    </row>
    <row r="203" spans="1:14" ht="15.75">
      <c r="A203" s="319"/>
      <c r="B203" s="333"/>
      <c r="C203" s="322"/>
      <c r="D203" s="322"/>
      <c r="H203" s="292"/>
      <c r="I203" s="292"/>
      <c r="J203" s="298"/>
      <c r="K203" s="292"/>
      <c r="L203" s="298"/>
      <c r="M203" s="292"/>
      <c r="N203" s="292"/>
    </row>
    <row r="204" spans="1:14" ht="15.75">
      <c r="A204" s="319"/>
      <c r="B204" s="333"/>
      <c r="C204" s="322"/>
      <c r="D204" s="322"/>
      <c r="H204" s="292"/>
      <c r="I204" s="292"/>
      <c r="J204" s="298"/>
      <c r="K204" s="292"/>
      <c r="L204" s="298"/>
      <c r="M204" s="292"/>
      <c r="N204" s="292"/>
    </row>
    <row r="205" spans="1:14" ht="15.75">
      <c r="A205" s="319"/>
      <c r="B205" s="333"/>
      <c r="C205" s="322"/>
      <c r="D205" s="322"/>
      <c r="H205" s="292"/>
      <c r="I205" s="292"/>
      <c r="J205" s="298"/>
      <c r="K205" s="292"/>
      <c r="L205" s="298"/>
      <c r="M205" s="292"/>
      <c r="N205" s="292"/>
    </row>
    <row r="206" spans="1:14" ht="15.75">
      <c r="A206" s="319"/>
      <c r="B206" s="333"/>
      <c r="C206" s="322"/>
      <c r="D206" s="322"/>
      <c r="H206" s="292"/>
      <c r="I206" s="292"/>
      <c r="J206" s="298"/>
      <c r="K206" s="292"/>
      <c r="L206" s="298"/>
      <c r="M206" s="292"/>
      <c r="N206" s="292"/>
    </row>
    <row r="207" spans="1:14" ht="15.75">
      <c r="A207" s="319"/>
      <c r="B207" s="333"/>
      <c r="C207" s="322"/>
      <c r="D207" s="322"/>
      <c r="H207" s="292"/>
      <c r="I207" s="292"/>
      <c r="J207" s="298"/>
      <c r="K207" s="292"/>
      <c r="L207" s="298"/>
      <c r="M207" s="292"/>
      <c r="N207" s="292"/>
    </row>
    <row r="208" spans="1:14" ht="15.75">
      <c r="A208" s="319"/>
      <c r="B208" s="333"/>
      <c r="C208" s="322"/>
      <c r="D208" s="322"/>
      <c r="H208" s="292"/>
      <c r="I208" s="292"/>
      <c r="J208" s="298"/>
      <c r="K208" s="292"/>
      <c r="L208" s="298"/>
      <c r="M208" s="292"/>
      <c r="N208" s="292"/>
    </row>
    <row r="209" spans="1:14" ht="15.75">
      <c r="A209" s="319"/>
      <c r="B209" s="333"/>
      <c r="C209" s="322"/>
      <c r="D209" s="322"/>
      <c r="H209" s="292"/>
      <c r="I209" s="292"/>
      <c r="J209" s="298"/>
      <c r="K209" s="292"/>
      <c r="L209" s="298"/>
      <c r="M209" s="292"/>
      <c r="N209" s="292"/>
    </row>
    <row r="210" spans="1:14" ht="15.75">
      <c r="A210" s="319"/>
      <c r="B210" s="333"/>
      <c r="C210" s="322"/>
      <c r="D210" s="322"/>
      <c r="H210" s="292"/>
      <c r="I210" s="292"/>
      <c r="J210" s="298"/>
      <c r="K210" s="292"/>
      <c r="L210" s="298"/>
      <c r="M210" s="292"/>
      <c r="N210" s="292"/>
    </row>
    <row r="211" spans="1:14" ht="15.75">
      <c r="A211" s="319"/>
      <c r="B211" s="333"/>
      <c r="C211" s="322"/>
      <c r="D211" s="322"/>
      <c r="H211" s="292"/>
      <c r="I211" s="292"/>
      <c r="J211" s="298"/>
      <c r="K211" s="292"/>
      <c r="L211" s="298"/>
      <c r="M211" s="292"/>
      <c r="N211" s="292"/>
    </row>
    <row r="212" spans="1:14" ht="15.75">
      <c r="A212" s="319"/>
      <c r="B212" s="333"/>
      <c r="C212" s="322"/>
      <c r="D212" s="322"/>
      <c r="H212" s="292"/>
      <c r="I212" s="292"/>
      <c r="J212" s="298"/>
      <c r="K212" s="292"/>
      <c r="L212" s="298"/>
      <c r="M212" s="292"/>
      <c r="N212" s="292"/>
    </row>
    <row r="213" spans="1:14" ht="15.75">
      <c r="A213" s="319"/>
      <c r="B213" s="333"/>
      <c r="C213" s="322"/>
      <c r="D213" s="322"/>
      <c r="H213" s="292"/>
      <c r="I213" s="292"/>
      <c r="J213" s="298"/>
      <c r="K213" s="292"/>
      <c r="L213" s="298"/>
      <c r="M213" s="292"/>
      <c r="N213" s="292"/>
    </row>
    <row r="214" spans="1:14" ht="15.75">
      <c r="A214" s="319"/>
      <c r="B214" s="333"/>
      <c r="C214" s="322"/>
      <c r="D214" s="322"/>
      <c r="H214" s="292"/>
      <c r="I214" s="292"/>
      <c r="J214" s="298"/>
      <c r="K214" s="292"/>
      <c r="L214" s="298"/>
      <c r="M214" s="292"/>
      <c r="N214" s="292"/>
    </row>
    <row r="215" spans="1:14" ht="15.75">
      <c r="A215" s="319"/>
      <c r="B215" s="333"/>
      <c r="C215" s="322"/>
      <c r="D215" s="322"/>
      <c r="H215" s="292"/>
      <c r="I215" s="292"/>
      <c r="J215" s="298"/>
      <c r="K215" s="292"/>
      <c r="L215" s="298"/>
      <c r="M215" s="292"/>
      <c r="N215" s="292"/>
    </row>
    <row r="216" spans="1:14" ht="15.75">
      <c r="A216" s="319"/>
      <c r="B216" s="333"/>
      <c r="C216" s="322"/>
      <c r="D216" s="322"/>
      <c r="H216" s="292"/>
      <c r="I216" s="292"/>
      <c r="J216" s="298"/>
      <c r="K216" s="292"/>
      <c r="L216" s="298"/>
      <c r="M216" s="292"/>
      <c r="N216" s="292"/>
    </row>
    <row r="217" spans="1:14" ht="15.75">
      <c r="A217" s="319"/>
      <c r="B217" s="333"/>
      <c r="C217" s="322"/>
      <c r="D217" s="322"/>
      <c r="H217" s="292"/>
      <c r="I217" s="292"/>
      <c r="J217" s="298"/>
      <c r="K217" s="292"/>
      <c r="L217" s="298"/>
      <c r="M217" s="292"/>
      <c r="N217" s="292"/>
    </row>
    <row r="218" spans="1:14" ht="15.75">
      <c r="A218" s="319"/>
      <c r="B218" s="333"/>
      <c r="C218" s="322"/>
      <c r="D218" s="322"/>
      <c r="H218" s="292"/>
      <c r="I218" s="292"/>
      <c r="J218" s="298"/>
      <c r="K218" s="292"/>
      <c r="L218" s="298"/>
      <c r="M218" s="292"/>
      <c r="N218" s="292"/>
    </row>
    <row r="219" spans="1:14" ht="15.75">
      <c r="A219" s="319"/>
      <c r="B219" s="333"/>
      <c r="C219" s="322"/>
      <c r="D219" s="322"/>
      <c r="H219" s="292"/>
      <c r="I219" s="292"/>
      <c r="J219" s="298"/>
      <c r="K219" s="292"/>
      <c r="L219" s="298"/>
      <c r="M219" s="292"/>
      <c r="N219" s="292"/>
    </row>
    <row r="220" spans="1:14" ht="15.75">
      <c r="A220" s="319"/>
      <c r="B220" s="333"/>
      <c r="C220" s="322"/>
      <c r="D220" s="322"/>
      <c r="H220" s="292"/>
      <c r="I220" s="292"/>
      <c r="J220" s="298"/>
      <c r="K220" s="292"/>
      <c r="L220" s="298"/>
      <c r="M220" s="292"/>
      <c r="N220" s="292"/>
    </row>
    <row r="221" spans="1:14" ht="15.75">
      <c r="A221" s="319"/>
      <c r="B221" s="333"/>
      <c r="C221" s="322"/>
      <c r="D221" s="322"/>
      <c r="H221" s="292"/>
      <c r="I221" s="292"/>
      <c r="J221" s="298"/>
      <c r="K221" s="292"/>
      <c r="L221" s="298"/>
      <c r="M221" s="292"/>
      <c r="N221" s="292"/>
    </row>
    <row r="222" spans="1:14" ht="15.75">
      <c r="A222" s="319"/>
      <c r="B222" s="333"/>
      <c r="C222" s="322"/>
      <c r="D222" s="322"/>
      <c r="H222" s="292"/>
      <c r="I222" s="292"/>
      <c r="J222" s="298"/>
      <c r="K222" s="292"/>
      <c r="L222" s="298"/>
      <c r="M222" s="292"/>
      <c r="N222" s="292"/>
    </row>
    <row r="223" spans="1:14" ht="15.75">
      <c r="A223" s="319"/>
      <c r="B223" s="333"/>
      <c r="C223" s="322"/>
      <c r="D223" s="322"/>
      <c r="H223" s="292"/>
      <c r="I223" s="292"/>
      <c r="J223" s="298"/>
      <c r="K223" s="292"/>
      <c r="L223" s="298"/>
      <c r="M223" s="292"/>
      <c r="N223" s="292"/>
    </row>
    <row r="224" spans="1:14" ht="15.75">
      <c r="A224" s="319"/>
      <c r="B224" s="333"/>
      <c r="C224" s="322"/>
      <c r="D224" s="322"/>
      <c r="H224" s="292"/>
      <c r="I224" s="292"/>
      <c r="J224" s="298"/>
      <c r="K224" s="292"/>
      <c r="L224" s="298"/>
      <c r="M224" s="292"/>
      <c r="N224" s="292"/>
    </row>
    <row r="225" spans="1:14" ht="15.75">
      <c r="A225" s="319"/>
      <c r="B225" s="333"/>
      <c r="C225" s="322"/>
      <c r="D225" s="322"/>
      <c r="H225" s="292"/>
      <c r="I225" s="292"/>
      <c r="J225" s="298"/>
      <c r="K225" s="292"/>
      <c r="L225" s="298"/>
      <c r="M225" s="292"/>
      <c r="N225" s="292"/>
    </row>
    <row r="226" spans="1:14" ht="15.75">
      <c r="A226" s="319"/>
      <c r="B226" s="333"/>
      <c r="C226" s="322"/>
      <c r="D226" s="322"/>
      <c r="H226" s="292"/>
      <c r="I226" s="292"/>
      <c r="J226" s="298"/>
      <c r="K226" s="292"/>
      <c r="L226" s="298"/>
      <c r="M226" s="292"/>
      <c r="N226" s="292"/>
    </row>
    <row r="227" spans="1:14" ht="15.75">
      <c r="A227" s="319"/>
      <c r="B227" s="333"/>
      <c r="C227" s="322"/>
      <c r="D227" s="322"/>
      <c r="H227" s="292"/>
      <c r="I227" s="292"/>
      <c r="J227" s="298"/>
      <c r="K227" s="292"/>
      <c r="L227" s="298"/>
      <c r="M227" s="292"/>
      <c r="N227" s="292"/>
    </row>
    <row r="228" spans="1:14" ht="15.75">
      <c r="A228" s="319"/>
      <c r="B228" s="333"/>
      <c r="C228" s="322"/>
      <c r="D228" s="322"/>
      <c r="H228" s="292"/>
      <c r="I228" s="292"/>
      <c r="J228" s="298"/>
      <c r="K228" s="292"/>
      <c r="L228" s="298"/>
      <c r="M228" s="292"/>
      <c r="N228" s="292"/>
    </row>
    <row r="229" spans="1:14" ht="15.75">
      <c r="A229" s="319"/>
      <c r="B229" s="333"/>
      <c r="C229" s="322"/>
      <c r="D229" s="322"/>
      <c r="H229" s="292"/>
      <c r="I229" s="292"/>
      <c r="J229" s="298"/>
      <c r="K229" s="292"/>
      <c r="L229" s="298"/>
      <c r="M229" s="292"/>
      <c r="N229" s="292"/>
    </row>
    <row r="230" spans="1:14" ht="15.75">
      <c r="A230" s="319"/>
      <c r="B230" s="333"/>
      <c r="C230" s="322"/>
      <c r="D230" s="322"/>
      <c r="H230" s="292"/>
      <c r="I230" s="292"/>
      <c r="J230" s="298"/>
      <c r="K230" s="292"/>
      <c r="L230" s="298"/>
      <c r="M230" s="292"/>
      <c r="N230" s="292"/>
    </row>
    <row r="231" spans="1:14" ht="15.75">
      <c r="A231" s="319"/>
      <c r="B231" s="333"/>
      <c r="C231" s="322"/>
      <c r="D231" s="322"/>
      <c r="H231" s="292"/>
      <c r="I231" s="292"/>
      <c r="J231" s="298"/>
      <c r="K231" s="292"/>
      <c r="L231" s="298"/>
      <c r="M231" s="292"/>
      <c r="N231" s="292"/>
    </row>
    <row r="232" spans="1:14" ht="15.75">
      <c r="A232" s="319"/>
      <c r="B232" s="333"/>
      <c r="C232" s="322"/>
      <c r="D232" s="322"/>
      <c r="H232" s="292"/>
      <c r="I232" s="292"/>
      <c r="J232" s="298"/>
      <c r="K232" s="292"/>
      <c r="L232" s="298"/>
      <c r="M232" s="292"/>
      <c r="N232" s="292"/>
    </row>
    <row r="233" spans="1:14" ht="15.75">
      <c r="A233" s="319"/>
      <c r="B233" s="333"/>
      <c r="C233" s="322"/>
      <c r="D233" s="322"/>
      <c r="H233" s="292"/>
      <c r="I233" s="292"/>
      <c r="J233" s="298"/>
      <c r="K233" s="292"/>
      <c r="L233" s="298"/>
      <c r="M233" s="292"/>
      <c r="N233" s="292"/>
    </row>
    <row r="234" spans="1:14" ht="15.75">
      <c r="A234" s="319"/>
      <c r="B234" s="333"/>
      <c r="C234" s="322"/>
      <c r="D234" s="322"/>
      <c r="H234" s="292"/>
      <c r="I234" s="292"/>
      <c r="J234" s="298"/>
      <c r="K234" s="292"/>
      <c r="L234" s="298"/>
      <c r="M234" s="292"/>
      <c r="N234" s="292"/>
    </row>
    <row r="235" spans="1:14" ht="15.75">
      <c r="A235" s="319"/>
      <c r="B235" s="333"/>
      <c r="C235" s="322"/>
      <c r="D235" s="322"/>
      <c r="H235" s="292"/>
      <c r="I235" s="292"/>
      <c r="J235" s="298"/>
      <c r="K235" s="292"/>
      <c r="L235" s="298"/>
      <c r="M235" s="292"/>
      <c r="N235" s="292"/>
    </row>
    <row r="236" spans="1:14" ht="15.75">
      <c r="A236" s="319"/>
      <c r="B236" s="333"/>
      <c r="C236" s="322"/>
      <c r="D236" s="322"/>
      <c r="H236" s="292"/>
      <c r="I236" s="292"/>
      <c r="J236" s="298"/>
      <c r="K236" s="292"/>
      <c r="L236" s="298"/>
      <c r="M236" s="292"/>
      <c r="N236" s="292"/>
    </row>
    <row r="237" spans="1:14" ht="15.75">
      <c r="A237" s="319"/>
      <c r="B237" s="333"/>
      <c r="C237" s="322"/>
      <c r="D237" s="322"/>
      <c r="H237" s="292"/>
      <c r="I237" s="292"/>
      <c r="J237" s="298"/>
      <c r="K237" s="292"/>
      <c r="L237" s="298"/>
      <c r="M237" s="292"/>
      <c r="N237" s="292"/>
    </row>
    <row r="238" spans="1:14" ht="15.75">
      <c r="A238" s="319"/>
      <c r="B238" s="333"/>
      <c r="C238" s="322"/>
      <c r="D238" s="322"/>
      <c r="H238" s="292"/>
      <c r="I238" s="292"/>
      <c r="J238" s="298"/>
      <c r="K238" s="292"/>
      <c r="L238" s="298"/>
      <c r="M238" s="292"/>
      <c r="N238" s="292"/>
    </row>
    <row r="239" spans="1:14" ht="15.75">
      <c r="A239" s="319"/>
      <c r="B239" s="333"/>
      <c r="C239" s="322"/>
      <c r="D239" s="322"/>
      <c r="H239" s="292"/>
      <c r="I239" s="292"/>
      <c r="J239" s="298"/>
      <c r="K239" s="292"/>
      <c r="L239" s="298"/>
      <c r="M239" s="292"/>
      <c r="N239" s="292"/>
    </row>
    <row r="240" spans="1:14" ht="15.75">
      <c r="A240" s="319"/>
      <c r="B240" s="333"/>
      <c r="C240" s="322"/>
      <c r="D240" s="322"/>
      <c r="H240" s="292"/>
      <c r="I240" s="292"/>
      <c r="J240" s="298"/>
      <c r="K240" s="292"/>
      <c r="L240" s="298"/>
      <c r="M240" s="292"/>
      <c r="N240" s="292"/>
    </row>
    <row r="241" spans="1:14" ht="15.75">
      <c r="A241" s="319"/>
      <c r="B241" s="333"/>
      <c r="C241" s="322"/>
      <c r="D241" s="322"/>
      <c r="H241" s="292"/>
      <c r="I241" s="292"/>
      <c r="J241" s="298"/>
      <c r="K241" s="292"/>
      <c r="L241" s="298"/>
      <c r="M241" s="292"/>
      <c r="N241" s="292"/>
    </row>
    <row r="242" spans="1:14" ht="15.75">
      <c r="A242" s="319"/>
      <c r="B242" s="333"/>
      <c r="C242" s="322"/>
      <c r="D242" s="322"/>
      <c r="H242" s="292"/>
      <c r="I242" s="292"/>
      <c r="J242" s="298"/>
      <c r="K242" s="292"/>
      <c r="L242" s="298"/>
      <c r="M242" s="292"/>
      <c r="N242" s="292"/>
    </row>
    <row r="243" spans="1:14" ht="15.75">
      <c r="A243" s="319"/>
      <c r="B243" s="333"/>
      <c r="C243" s="322"/>
      <c r="D243" s="322"/>
      <c r="H243" s="292"/>
      <c r="I243" s="292"/>
      <c r="J243" s="298"/>
      <c r="K243" s="292"/>
      <c r="L243" s="298"/>
      <c r="M243" s="292"/>
      <c r="N243" s="292"/>
    </row>
    <row r="244" spans="1:14" ht="15.75">
      <c r="A244" s="319"/>
      <c r="B244" s="333"/>
      <c r="C244" s="322"/>
      <c r="D244" s="322"/>
      <c r="H244" s="292"/>
      <c r="I244" s="292"/>
      <c r="J244" s="298"/>
      <c r="K244" s="292"/>
      <c r="L244" s="298"/>
      <c r="M244" s="292"/>
      <c r="N244" s="292"/>
    </row>
    <row r="245" spans="1:14" ht="15.75">
      <c r="A245" s="319"/>
      <c r="B245" s="333"/>
      <c r="C245" s="322"/>
      <c r="D245" s="322"/>
      <c r="H245" s="292"/>
      <c r="I245" s="292"/>
      <c r="J245" s="298"/>
      <c r="K245" s="292"/>
      <c r="L245" s="298"/>
      <c r="M245" s="292"/>
      <c r="N245" s="292"/>
    </row>
    <row r="246" spans="1:14" ht="15.75">
      <c r="A246" s="319"/>
      <c r="B246" s="333"/>
      <c r="C246" s="322"/>
      <c r="D246" s="322"/>
      <c r="H246" s="292"/>
      <c r="I246" s="292"/>
      <c r="J246" s="298"/>
      <c r="K246" s="292"/>
      <c r="L246" s="298"/>
      <c r="M246" s="292"/>
      <c r="N246" s="292"/>
    </row>
    <row r="247" spans="1:14" ht="15.75">
      <c r="A247" s="319"/>
      <c r="B247" s="333"/>
      <c r="C247" s="322"/>
      <c r="D247" s="322"/>
      <c r="H247" s="292"/>
      <c r="I247" s="292"/>
      <c r="J247" s="298"/>
      <c r="K247" s="292"/>
      <c r="L247" s="298"/>
      <c r="M247" s="292"/>
      <c r="N247" s="292"/>
    </row>
    <row r="248" spans="1:14" ht="15.75">
      <c r="A248" s="319"/>
      <c r="B248" s="333"/>
      <c r="C248" s="322"/>
      <c r="D248" s="322"/>
      <c r="H248" s="292"/>
      <c r="I248" s="292"/>
      <c r="J248" s="298"/>
      <c r="K248" s="292"/>
      <c r="L248" s="298"/>
      <c r="M248" s="292"/>
      <c r="N248" s="292"/>
    </row>
    <row r="249" spans="1:14" ht="15.75">
      <c r="A249" s="319"/>
      <c r="B249" s="333"/>
      <c r="C249" s="322"/>
      <c r="D249" s="322"/>
      <c r="H249" s="292"/>
      <c r="I249" s="292"/>
      <c r="J249" s="298"/>
      <c r="K249" s="292"/>
      <c r="L249" s="298"/>
      <c r="M249" s="292"/>
      <c r="N249" s="292"/>
    </row>
    <row r="250" spans="1:14" ht="15.75">
      <c r="A250" s="319"/>
      <c r="B250" s="333"/>
      <c r="C250" s="322"/>
      <c r="D250" s="322"/>
      <c r="H250" s="292"/>
      <c r="I250" s="292"/>
      <c r="J250" s="298"/>
      <c r="K250" s="292"/>
      <c r="L250" s="298"/>
      <c r="M250" s="292"/>
      <c r="N250" s="292"/>
    </row>
    <row r="251" spans="1:14" ht="15.75">
      <c r="A251" s="319"/>
      <c r="B251" s="333"/>
      <c r="C251" s="322"/>
      <c r="D251" s="322"/>
      <c r="H251" s="292"/>
      <c r="I251" s="292"/>
      <c r="J251" s="298"/>
      <c r="K251" s="292"/>
      <c r="L251" s="298"/>
      <c r="M251" s="292"/>
      <c r="N251" s="292"/>
    </row>
    <row r="252" spans="1:14" ht="15.75">
      <c r="A252" s="319"/>
      <c r="B252" s="333"/>
      <c r="C252" s="322"/>
      <c r="D252" s="322"/>
      <c r="H252" s="292"/>
      <c r="I252" s="292"/>
      <c r="J252" s="298"/>
      <c r="K252" s="292"/>
      <c r="L252" s="298"/>
      <c r="M252" s="292"/>
      <c r="N252" s="292"/>
    </row>
    <row r="253" spans="1:14" ht="15.75">
      <c r="A253" s="319"/>
      <c r="B253" s="333"/>
      <c r="C253" s="322"/>
      <c r="D253" s="322"/>
      <c r="H253" s="292"/>
      <c r="I253" s="292"/>
      <c r="J253" s="298"/>
      <c r="K253" s="292"/>
      <c r="L253" s="298"/>
      <c r="M253" s="292"/>
      <c r="N253" s="292"/>
    </row>
    <row r="254" spans="1:14" ht="15.75">
      <c r="A254" s="319"/>
      <c r="B254" s="333"/>
      <c r="C254" s="322"/>
      <c r="D254" s="322"/>
      <c r="H254" s="292"/>
      <c r="I254" s="292"/>
      <c r="J254" s="298"/>
      <c r="K254" s="292"/>
      <c r="L254" s="298"/>
      <c r="M254" s="292"/>
      <c r="N254" s="292"/>
    </row>
    <row r="255" spans="1:14" ht="15.75">
      <c r="A255" s="319"/>
      <c r="B255" s="333"/>
      <c r="C255" s="322"/>
      <c r="D255" s="322"/>
      <c r="H255" s="292"/>
      <c r="I255" s="292"/>
      <c r="J255" s="298"/>
      <c r="K255" s="292"/>
      <c r="L255" s="298"/>
      <c r="M255" s="292"/>
      <c r="N255" s="292"/>
    </row>
    <row r="256" spans="1:14" ht="15.75">
      <c r="A256" s="319"/>
      <c r="B256" s="333"/>
      <c r="C256" s="322"/>
      <c r="D256" s="322"/>
      <c r="H256" s="292"/>
      <c r="I256" s="292"/>
      <c r="J256" s="298"/>
      <c r="K256" s="292"/>
      <c r="L256" s="298"/>
      <c r="M256" s="292"/>
      <c r="N256" s="292"/>
    </row>
    <row r="257" spans="1:14" ht="15.75">
      <c r="A257" s="319"/>
      <c r="B257" s="333"/>
      <c r="C257" s="322"/>
      <c r="D257" s="322"/>
      <c r="H257" s="292"/>
      <c r="I257" s="292"/>
      <c r="J257" s="298"/>
      <c r="K257" s="292"/>
      <c r="L257" s="298"/>
      <c r="M257" s="292"/>
      <c r="N257" s="292"/>
    </row>
    <row r="258" spans="1:14" ht="15.75">
      <c r="A258" s="319"/>
      <c r="B258" s="333"/>
      <c r="C258" s="322"/>
      <c r="D258" s="322"/>
      <c r="H258" s="292"/>
      <c r="I258" s="292"/>
      <c r="J258" s="298"/>
      <c r="K258" s="292"/>
      <c r="L258" s="298"/>
      <c r="M258" s="292"/>
      <c r="N258" s="292"/>
    </row>
    <row r="259" spans="1:14" ht="15.75">
      <c r="A259" s="319"/>
      <c r="B259" s="333"/>
      <c r="C259" s="322"/>
      <c r="D259" s="322"/>
      <c r="H259" s="292"/>
      <c r="I259" s="292"/>
      <c r="J259" s="298"/>
      <c r="K259" s="292"/>
      <c r="L259" s="298"/>
      <c r="M259" s="292"/>
      <c r="N259" s="292"/>
    </row>
    <row r="260" spans="1:14" ht="15.75">
      <c r="A260" s="319"/>
      <c r="B260" s="333"/>
      <c r="C260" s="322"/>
      <c r="D260" s="322"/>
      <c r="H260" s="292"/>
      <c r="I260" s="292"/>
      <c r="J260" s="298"/>
      <c r="K260" s="292"/>
      <c r="L260" s="298"/>
      <c r="M260" s="292"/>
      <c r="N260" s="292"/>
    </row>
    <row r="261" spans="1:14" ht="15.75">
      <c r="A261" s="319"/>
      <c r="B261" s="333"/>
      <c r="C261" s="322"/>
      <c r="D261" s="322"/>
      <c r="H261" s="292"/>
      <c r="I261" s="292"/>
      <c r="J261" s="298"/>
      <c r="K261" s="292"/>
      <c r="L261" s="298"/>
      <c r="M261" s="292"/>
      <c r="N261" s="292"/>
    </row>
    <row r="262" spans="1:14" ht="15.75">
      <c r="A262" s="319"/>
      <c r="B262" s="333"/>
      <c r="C262" s="322"/>
      <c r="D262" s="322"/>
      <c r="H262" s="292"/>
      <c r="I262" s="292"/>
      <c r="J262" s="298"/>
      <c r="K262" s="292"/>
      <c r="L262" s="298"/>
      <c r="M262" s="292"/>
      <c r="N262" s="292"/>
    </row>
    <row r="263" spans="1:14" ht="15.75">
      <c r="A263" s="319"/>
      <c r="B263" s="333"/>
      <c r="C263" s="322"/>
      <c r="D263" s="322"/>
      <c r="H263" s="292"/>
      <c r="I263" s="292"/>
      <c r="J263" s="298"/>
      <c r="K263" s="292"/>
      <c r="L263" s="298"/>
      <c r="M263" s="292"/>
      <c r="N263" s="292"/>
    </row>
    <row r="264" spans="1:14" ht="15.75">
      <c r="A264" s="319"/>
      <c r="B264" s="333"/>
      <c r="C264" s="322"/>
      <c r="D264" s="322"/>
      <c r="H264" s="292"/>
      <c r="I264" s="292"/>
      <c r="J264" s="298"/>
      <c r="K264" s="292"/>
      <c r="L264" s="298"/>
      <c r="M264" s="292"/>
      <c r="N264" s="292"/>
    </row>
    <row r="265" spans="1:14" ht="15.75">
      <c r="A265" s="319"/>
      <c r="B265" s="333"/>
      <c r="C265" s="322"/>
      <c r="D265" s="322"/>
      <c r="H265" s="292"/>
      <c r="I265" s="292"/>
      <c r="J265" s="298"/>
      <c r="K265" s="292"/>
      <c r="L265" s="298"/>
      <c r="M265" s="292"/>
      <c r="N265" s="292"/>
    </row>
    <row r="266" spans="1:14" ht="15.75">
      <c r="A266" s="319"/>
      <c r="B266" s="333"/>
      <c r="C266" s="322"/>
      <c r="D266" s="322"/>
      <c r="H266" s="292"/>
      <c r="I266" s="292"/>
      <c r="J266" s="298"/>
      <c r="K266" s="292"/>
      <c r="L266" s="298"/>
      <c r="M266" s="292"/>
      <c r="N266" s="292"/>
    </row>
    <row r="267" spans="1:14" ht="15.75">
      <c r="A267" s="319"/>
      <c r="B267" s="333"/>
      <c r="C267" s="322"/>
      <c r="D267" s="322"/>
      <c r="H267" s="292"/>
      <c r="I267" s="292"/>
      <c r="J267" s="298"/>
      <c r="K267" s="292"/>
      <c r="L267" s="298"/>
      <c r="M267" s="292"/>
      <c r="N267" s="292"/>
    </row>
    <row r="268" spans="1:14" ht="15.75">
      <c r="A268" s="319"/>
      <c r="B268" s="333"/>
      <c r="C268" s="322"/>
      <c r="D268" s="322"/>
      <c r="H268" s="292"/>
      <c r="I268" s="292"/>
      <c r="J268" s="298"/>
      <c r="K268" s="292"/>
      <c r="L268" s="298"/>
      <c r="M268" s="292"/>
      <c r="N268" s="292"/>
    </row>
    <row r="269" spans="1:14" ht="15.75">
      <c r="A269" s="319"/>
      <c r="B269" s="333"/>
      <c r="C269" s="322"/>
      <c r="D269" s="322"/>
      <c r="H269" s="292"/>
      <c r="I269" s="292"/>
      <c r="J269" s="298"/>
      <c r="K269" s="292"/>
      <c r="L269" s="298"/>
      <c r="M269" s="292"/>
      <c r="N269" s="292"/>
    </row>
    <row r="270" spans="1:14" ht="15.75">
      <c r="A270" s="319"/>
      <c r="B270" s="333"/>
      <c r="C270" s="322"/>
      <c r="D270" s="322"/>
      <c r="H270" s="292"/>
      <c r="I270" s="292"/>
      <c r="J270" s="298"/>
      <c r="K270" s="292"/>
      <c r="L270" s="298"/>
      <c r="M270" s="292"/>
      <c r="N270" s="292"/>
    </row>
    <row r="271" spans="1:14" ht="15.75">
      <c r="A271" s="319"/>
      <c r="B271" s="333"/>
      <c r="C271" s="322"/>
      <c r="D271" s="322"/>
      <c r="H271" s="292"/>
      <c r="I271" s="292"/>
      <c r="J271" s="298"/>
      <c r="K271" s="292"/>
      <c r="L271" s="298"/>
      <c r="M271" s="292"/>
      <c r="N271" s="292"/>
    </row>
    <row r="272" spans="1:14" ht="15.75">
      <c r="A272" s="319"/>
      <c r="B272" s="333"/>
      <c r="C272" s="322"/>
      <c r="D272" s="322"/>
      <c r="H272" s="292"/>
      <c r="I272" s="292"/>
      <c r="J272" s="298"/>
      <c r="K272" s="292"/>
      <c r="L272" s="298"/>
      <c r="M272" s="292"/>
      <c r="N272" s="292"/>
    </row>
    <row r="273" spans="1:14" ht="15.75">
      <c r="A273" s="319"/>
      <c r="B273" s="333"/>
      <c r="C273" s="322"/>
      <c r="D273" s="322"/>
      <c r="H273" s="292"/>
      <c r="I273" s="292"/>
      <c r="J273" s="298"/>
      <c r="K273" s="292"/>
      <c r="L273" s="298"/>
      <c r="M273" s="292"/>
      <c r="N273" s="292"/>
    </row>
    <row r="274" spans="1:14" ht="15.75">
      <c r="A274" s="319"/>
      <c r="B274" s="333"/>
      <c r="C274" s="322"/>
      <c r="D274" s="322"/>
      <c r="H274" s="292"/>
      <c r="I274" s="292"/>
      <c r="J274" s="298"/>
      <c r="K274" s="292"/>
      <c r="L274" s="298"/>
      <c r="M274" s="292"/>
      <c r="N274" s="292"/>
    </row>
    <row r="275" spans="1:14" ht="15.75">
      <c r="A275" s="319"/>
      <c r="B275" s="333"/>
      <c r="C275" s="322"/>
      <c r="D275" s="322"/>
      <c r="H275" s="292"/>
      <c r="I275" s="292"/>
      <c r="J275" s="298"/>
      <c r="K275" s="292"/>
      <c r="L275" s="298"/>
      <c r="M275" s="292"/>
      <c r="N275" s="292"/>
    </row>
    <row r="276" spans="1:14" ht="15.75">
      <c r="A276" s="319"/>
      <c r="B276" s="333"/>
      <c r="C276" s="322"/>
      <c r="D276" s="322"/>
      <c r="H276" s="292"/>
      <c r="I276" s="292"/>
      <c r="J276" s="298"/>
      <c r="K276" s="292"/>
      <c r="L276" s="298"/>
      <c r="M276" s="292"/>
      <c r="N276" s="292"/>
    </row>
    <row r="277" spans="1:14" ht="15.75">
      <c r="A277" s="319"/>
      <c r="B277" s="333"/>
      <c r="C277" s="322"/>
      <c r="D277" s="322"/>
      <c r="H277" s="292"/>
      <c r="I277" s="292"/>
      <c r="J277" s="298"/>
      <c r="K277" s="292"/>
      <c r="L277" s="298"/>
      <c r="M277" s="292"/>
      <c r="N277" s="292"/>
    </row>
    <row r="278" spans="1:14" ht="15.75">
      <c r="A278" s="319"/>
      <c r="B278" s="333"/>
      <c r="C278" s="322"/>
      <c r="D278" s="322"/>
      <c r="H278" s="292"/>
      <c r="I278" s="292"/>
      <c r="J278" s="298"/>
      <c r="K278" s="292"/>
      <c r="L278" s="298"/>
      <c r="M278" s="292"/>
      <c r="N278" s="292"/>
    </row>
    <row r="279" spans="1:14" ht="15.75">
      <c r="A279" s="319"/>
      <c r="B279" s="333"/>
      <c r="C279" s="322"/>
      <c r="D279" s="322"/>
      <c r="H279" s="292"/>
      <c r="I279" s="292"/>
      <c r="J279" s="298"/>
      <c r="K279" s="292"/>
      <c r="L279" s="298"/>
      <c r="M279" s="292"/>
      <c r="N279" s="292"/>
    </row>
    <row r="280" spans="1:14" ht="15.75">
      <c r="A280" s="319"/>
      <c r="B280" s="333"/>
      <c r="C280" s="322"/>
      <c r="D280" s="322"/>
      <c r="H280" s="292"/>
      <c r="I280" s="292"/>
      <c r="J280" s="298"/>
      <c r="K280" s="292"/>
      <c r="L280" s="298"/>
      <c r="M280" s="292"/>
      <c r="N280" s="292"/>
    </row>
    <row r="281" spans="1:14" ht="15.75">
      <c r="A281" s="319"/>
      <c r="B281" s="333"/>
      <c r="C281" s="322"/>
      <c r="D281" s="322"/>
      <c r="H281" s="292"/>
      <c r="I281" s="292"/>
      <c r="J281" s="298"/>
      <c r="K281" s="292"/>
      <c r="L281" s="298"/>
      <c r="M281" s="292"/>
      <c r="N281" s="292"/>
    </row>
    <row r="282" spans="1:14" ht="15.75">
      <c r="A282" s="319"/>
      <c r="B282" s="333"/>
      <c r="C282" s="322"/>
      <c r="D282" s="322"/>
      <c r="H282" s="292"/>
      <c r="I282" s="292"/>
      <c r="J282" s="298"/>
      <c r="K282" s="292"/>
      <c r="L282" s="298"/>
      <c r="M282" s="292"/>
      <c r="N282" s="292"/>
    </row>
    <row r="283" spans="1:14" ht="15.75">
      <c r="A283" s="319"/>
      <c r="B283" s="333"/>
      <c r="C283" s="322"/>
      <c r="D283" s="322"/>
      <c r="H283" s="292"/>
      <c r="I283" s="292"/>
      <c r="J283" s="298"/>
      <c r="K283" s="292"/>
      <c r="L283" s="298"/>
      <c r="M283" s="292"/>
      <c r="N283" s="292"/>
    </row>
    <row r="284" spans="1:14" ht="15.75">
      <c r="A284" s="319"/>
      <c r="B284" s="333"/>
      <c r="C284" s="322"/>
      <c r="D284" s="322"/>
      <c r="H284" s="292"/>
      <c r="I284" s="292"/>
      <c r="J284" s="298"/>
      <c r="K284" s="292"/>
      <c r="L284" s="298"/>
      <c r="M284" s="292"/>
      <c r="N284" s="292"/>
    </row>
    <row r="285" spans="1:14" ht="15.75">
      <c r="A285" s="319"/>
      <c r="B285" s="333"/>
      <c r="C285" s="322"/>
      <c r="D285" s="322"/>
      <c r="H285" s="292"/>
      <c r="I285" s="292"/>
      <c r="J285" s="298"/>
      <c r="K285" s="292"/>
      <c r="L285" s="298"/>
      <c r="M285" s="292"/>
      <c r="N285" s="292"/>
    </row>
    <row r="286" spans="1:14" ht="15.75">
      <c r="A286" s="319"/>
      <c r="B286" s="333"/>
      <c r="C286" s="322"/>
      <c r="D286" s="322"/>
      <c r="H286" s="292"/>
      <c r="I286" s="292"/>
      <c r="J286" s="298"/>
      <c r="K286" s="292"/>
      <c r="L286" s="298"/>
      <c r="M286" s="292"/>
      <c r="N286" s="292"/>
    </row>
    <row r="287" spans="1:14" ht="15.75">
      <c r="A287" s="319"/>
      <c r="B287" s="333"/>
      <c r="C287" s="322"/>
      <c r="D287" s="322"/>
      <c r="H287" s="292"/>
      <c r="I287" s="292"/>
      <c r="J287" s="298"/>
      <c r="K287" s="292"/>
      <c r="L287" s="298"/>
      <c r="M287" s="292"/>
      <c r="N287" s="292"/>
    </row>
    <row r="288" spans="1:14" ht="15.75">
      <c r="A288" s="319"/>
      <c r="B288" s="333"/>
      <c r="C288" s="322"/>
      <c r="D288" s="322"/>
      <c r="H288" s="292"/>
      <c r="I288" s="292"/>
      <c r="J288" s="298"/>
      <c r="K288" s="292"/>
      <c r="L288" s="298"/>
      <c r="M288" s="292"/>
      <c r="N288" s="292"/>
    </row>
    <row r="289" spans="1:14" ht="15.75">
      <c r="A289" s="319"/>
      <c r="B289" s="333"/>
      <c r="C289" s="322"/>
      <c r="D289" s="322"/>
      <c r="H289" s="292"/>
      <c r="I289" s="292"/>
      <c r="J289" s="298"/>
      <c r="K289" s="292"/>
      <c r="L289" s="298"/>
      <c r="M289" s="292"/>
      <c r="N289" s="292"/>
    </row>
    <row r="290" spans="1:14" ht="15.75">
      <c r="A290" s="319"/>
      <c r="B290" s="333"/>
      <c r="C290" s="322"/>
      <c r="D290" s="322"/>
      <c r="H290" s="292"/>
      <c r="I290" s="292"/>
      <c r="J290" s="298"/>
      <c r="K290" s="292"/>
      <c r="L290" s="298"/>
      <c r="M290" s="292"/>
      <c r="N290" s="292"/>
    </row>
    <row r="291" spans="1:14" ht="15.75">
      <c r="A291" s="319"/>
      <c r="B291" s="333"/>
      <c r="C291" s="322"/>
      <c r="D291" s="322"/>
      <c r="H291" s="292"/>
      <c r="I291" s="292"/>
      <c r="J291" s="298"/>
      <c r="K291" s="292"/>
      <c r="L291" s="298"/>
      <c r="M291" s="292"/>
      <c r="N291" s="292"/>
    </row>
    <row r="292" spans="1:14" ht="15.75">
      <c r="A292" s="319"/>
      <c r="B292" s="333"/>
      <c r="C292" s="322"/>
      <c r="D292" s="322"/>
      <c r="H292" s="292"/>
      <c r="I292" s="292"/>
      <c r="J292" s="298"/>
      <c r="K292" s="292"/>
      <c r="L292" s="298"/>
      <c r="M292" s="292"/>
      <c r="N292" s="292"/>
    </row>
    <row r="293" spans="1:14" ht="15.75">
      <c r="A293" s="319"/>
      <c r="B293" s="333"/>
      <c r="C293" s="322"/>
      <c r="D293" s="322"/>
      <c r="H293" s="292"/>
      <c r="I293" s="292"/>
      <c r="J293" s="298"/>
      <c r="K293" s="292"/>
      <c r="L293" s="298"/>
      <c r="M293" s="292"/>
      <c r="N293" s="292"/>
    </row>
    <row r="294" spans="1:14" ht="15.75">
      <c r="A294" s="319"/>
      <c r="B294" s="333"/>
      <c r="C294" s="322"/>
      <c r="D294" s="322"/>
      <c r="H294" s="292"/>
      <c r="I294" s="292"/>
      <c r="J294" s="298"/>
      <c r="K294" s="292"/>
      <c r="L294" s="298"/>
      <c r="M294" s="292"/>
      <c r="N294" s="292"/>
    </row>
    <row r="295" spans="1:14" ht="15.75">
      <c r="A295" s="319"/>
      <c r="B295" s="333"/>
      <c r="C295" s="322"/>
      <c r="D295" s="322"/>
      <c r="H295" s="292"/>
      <c r="I295" s="292"/>
      <c r="J295" s="298"/>
      <c r="K295" s="292"/>
      <c r="L295" s="298"/>
      <c r="M295" s="292"/>
      <c r="N295" s="292"/>
    </row>
    <row r="296" spans="1:14" ht="15.75">
      <c r="A296" s="319"/>
      <c r="B296" s="333"/>
      <c r="C296" s="322"/>
      <c r="D296" s="322"/>
      <c r="H296" s="292"/>
      <c r="I296" s="292"/>
      <c r="J296" s="298"/>
      <c r="K296" s="292"/>
      <c r="L296" s="298"/>
      <c r="M296" s="292"/>
      <c r="N296" s="292"/>
    </row>
    <row r="297" spans="1:14" ht="15.75">
      <c r="A297" s="319"/>
      <c r="B297" s="333"/>
      <c r="C297" s="322"/>
      <c r="D297" s="322"/>
      <c r="H297" s="292"/>
      <c r="I297" s="292"/>
      <c r="J297" s="298"/>
      <c r="K297" s="292"/>
      <c r="L297" s="298"/>
      <c r="M297" s="292"/>
      <c r="N297" s="292"/>
    </row>
    <row r="298" spans="1:14" ht="15.75">
      <c r="A298" s="319"/>
      <c r="B298" s="333"/>
      <c r="C298" s="322"/>
      <c r="D298" s="322"/>
      <c r="H298" s="292"/>
      <c r="I298" s="292"/>
      <c r="J298" s="298"/>
      <c r="K298" s="292"/>
      <c r="L298" s="298"/>
      <c r="M298" s="292"/>
      <c r="N298" s="292"/>
    </row>
    <row r="299" spans="1:14" ht="15.75">
      <c r="A299" s="319"/>
      <c r="B299" s="333"/>
      <c r="C299" s="322"/>
      <c r="D299" s="322"/>
      <c r="H299" s="292"/>
      <c r="I299" s="292"/>
      <c r="J299" s="298"/>
      <c r="K299" s="292"/>
      <c r="L299" s="298"/>
      <c r="M299" s="292"/>
      <c r="N299" s="292"/>
    </row>
    <row r="300" spans="1:14" ht="15.75">
      <c r="A300" s="319"/>
      <c r="B300" s="333"/>
      <c r="C300" s="322"/>
      <c r="D300" s="322"/>
      <c r="H300" s="292"/>
      <c r="I300" s="292"/>
      <c r="J300" s="298"/>
      <c r="K300" s="292"/>
      <c r="L300" s="298"/>
      <c r="M300" s="292"/>
      <c r="N300" s="292"/>
    </row>
    <row r="301" spans="1:14" ht="15.75">
      <c r="A301" s="319"/>
      <c r="B301" s="333"/>
      <c r="C301" s="322"/>
      <c r="D301" s="322"/>
      <c r="H301" s="292"/>
      <c r="I301" s="292"/>
      <c r="J301" s="298"/>
      <c r="K301" s="292"/>
      <c r="L301" s="298"/>
      <c r="M301" s="292"/>
      <c r="N301" s="292"/>
    </row>
    <row r="302" spans="1:14" ht="15.75">
      <c r="A302" s="319"/>
      <c r="B302" s="333"/>
      <c r="C302" s="322"/>
      <c r="D302" s="322"/>
      <c r="H302" s="292"/>
      <c r="I302" s="292"/>
      <c r="J302" s="298"/>
      <c r="K302" s="292"/>
      <c r="L302" s="298"/>
      <c r="M302" s="292"/>
      <c r="N302" s="292"/>
    </row>
    <row r="303" spans="1:14" ht="15.75">
      <c r="A303" s="319"/>
      <c r="B303" s="333"/>
      <c r="C303" s="322"/>
      <c r="D303" s="322"/>
      <c r="H303" s="292"/>
      <c r="I303" s="292"/>
      <c r="J303" s="298"/>
      <c r="K303" s="292"/>
      <c r="L303" s="298"/>
      <c r="M303" s="292"/>
      <c r="N303" s="292"/>
    </row>
    <row r="304" spans="1:14" ht="15.75">
      <c r="A304" s="319"/>
      <c r="B304" s="333"/>
      <c r="C304" s="322"/>
      <c r="D304" s="322"/>
      <c r="H304" s="292"/>
      <c r="I304" s="292"/>
      <c r="J304" s="298"/>
      <c r="K304" s="292"/>
      <c r="L304" s="298"/>
      <c r="M304" s="292"/>
      <c r="N304" s="292"/>
    </row>
    <row r="305" spans="1:14" ht="15.75">
      <c r="A305" s="319"/>
      <c r="B305" s="333"/>
      <c r="C305" s="322"/>
      <c r="D305" s="322"/>
      <c r="H305" s="292"/>
      <c r="I305" s="292"/>
      <c r="J305" s="298"/>
      <c r="K305" s="292"/>
      <c r="L305" s="298"/>
      <c r="M305" s="292"/>
      <c r="N305" s="292"/>
    </row>
    <row r="306" spans="1:14" ht="15.75">
      <c r="A306" s="319"/>
      <c r="B306" s="333"/>
      <c r="C306" s="322"/>
      <c r="D306" s="322"/>
      <c r="H306" s="292"/>
      <c r="I306" s="292"/>
      <c r="J306" s="298"/>
      <c r="K306" s="292"/>
      <c r="L306" s="298"/>
      <c r="M306" s="292"/>
      <c r="N306" s="292"/>
    </row>
    <row r="307" spans="1:14" ht="15.75">
      <c r="A307" s="319"/>
      <c r="B307" s="333"/>
      <c r="C307" s="322"/>
      <c r="D307" s="322"/>
      <c r="H307" s="292"/>
      <c r="I307" s="292"/>
      <c r="J307" s="298"/>
      <c r="K307" s="292"/>
      <c r="L307" s="298"/>
      <c r="M307" s="292"/>
      <c r="N307" s="292"/>
    </row>
    <row r="308" spans="1:14" ht="15.75">
      <c r="A308" s="319"/>
      <c r="B308" s="333"/>
      <c r="C308" s="322"/>
      <c r="D308" s="322"/>
      <c r="H308" s="292"/>
      <c r="I308" s="292"/>
      <c r="J308" s="298"/>
      <c r="K308" s="292"/>
      <c r="L308" s="298"/>
      <c r="M308" s="292"/>
      <c r="N308" s="292"/>
    </row>
    <row r="309" spans="1:14" ht="15.75">
      <c r="A309" s="319"/>
      <c r="B309" s="333"/>
      <c r="C309" s="322"/>
      <c r="D309" s="322"/>
      <c r="H309" s="292"/>
      <c r="I309" s="292"/>
      <c r="J309" s="298"/>
      <c r="K309" s="292"/>
      <c r="L309" s="298"/>
      <c r="M309" s="292"/>
      <c r="N309" s="292"/>
    </row>
    <row r="310" spans="1:14" ht="15.75">
      <c r="A310" s="319"/>
      <c r="B310" s="333"/>
      <c r="C310" s="322"/>
      <c r="D310" s="322"/>
      <c r="H310" s="292"/>
      <c r="I310" s="292"/>
      <c r="J310" s="298"/>
      <c r="K310" s="292"/>
      <c r="L310" s="298"/>
      <c r="M310" s="292"/>
      <c r="N310" s="292"/>
    </row>
    <row r="311" spans="1:14" ht="15.75">
      <c r="A311" s="319"/>
      <c r="B311" s="333"/>
      <c r="C311" s="322"/>
      <c r="D311" s="322"/>
      <c r="H311" s="292"/>
      <c r="I311" s="292"/>
      <c r="J311" s="298"/>
      <c r="K311" s="292"/>
      <c r="L311" s="298"/>
      <c r="M311" s="292"/>
      <c r="N311" s="292"/>
    </row>
    <row r="312" spans="1:14" ht="15.75">
      <c r="A312" s="319"/>
      <c r="B312" s="333"/>
      <c r="C312" s="322"/>
      <c r="D312" s="322"/>
      <c r="H312" s="292"/>
      <c r="I312" s="292"/>
      <c r="J312" s="298"/>
      <c r="K312" s="292"/>
      <c r="L312" s="298"/>
      <c r="M312" s="292"/>
      <c r="N312" s="292"/>
    </row>
    <row r="313" spans="1:14" ht="15.75">
      <c r="A313" s="319"/>
      <c r="B313" s="333"/>
      <c r="C313" s="322"/>
      <c r="D313" s="322"/>
      <c r="H313" s="292"/>
      <c r="I313" s="292"/>
      <c r="J313" s="298"/>
      <c r="K313" s="292"/>
      <c r="L313" s="298"/>
      <c r="M313" s="292"/>
      <c r="N313" s="292"/>
    </row>
    <row r="314" spans="1:14" ht="15.75">
      <c r="A314" s="319"/>
      <c r="B314" s="333"/>
      <c r="C314" s="322"/>
      <c r="D314" s="322"/>
      <c r="H314" s="292"/>
      <c r="I314" s="292"/>
      <c r="J314" s="298"/>
      <c r="K314" s="292"/>
      <c r="L314" s="298"/>
      <c r="M314" s="292"/>
      <c r="N314" s="292"/>
    </row>
    <row r="315" spans="1:14" ht="15.75">
      <c r="A315" s="319"/>
      <c r="B315" s="333"/>
      <c r="C315" s="322"/>
      <c r="D315" s="322"/>
      <c r="H315" s="292"/>
      <c r="I315" s="292"/>
      <c r="J315" s="298"/>
      <c r="K315" s="292"/>
      <c r="L315" s="298"/>
      <c r="M315" s="292"/>
      <c r="N315" s="292"/>
    </row>
    <row r="316" spans="1:14" ht="15.75">
      <c r="A316" s="319"/>
      <c r="B316" s="333"/>
      <c r="C316" s="322"/>
      <c r="D316" s="322"/>
      <c r="H316" s="292"/>
      <c r="I316" s="292"/>
      <c r="J316" s="298"/>
      <c r="K316" s="292"/>
      <c r="L316" s="298"/>
      <c r="M316" s="292"/>
      <c r="N316" s="292"/>
    </row>
    <row r="317" spans="1:14" ht="15.75">
      <c r="A317" s="319"/>
      <c r="B317" s="333"/>
      <c r="C317" s="322"/>
      <c r="D317" s="322"/>
      <c r="H317" s="292"/>
      <c r="I317" s="292"/>
      <c r="J317" s="298"/>
      <c r="K317" s="292"/>
      <c r="L317" s="298"/>
      <c r="M317" s="292"/>
      <c r="N317" s="292"/>
    </row>
    <row r="318" spans="1:14" ht="15.75">
      <c r="A318" s="319"/>
      <c r="B318" s="333"/>
      <c r="C318" s="322"/>
      <c r="D318" s="322"/>
      <c r="H318" s="292"/>
      <c r="I318" s="292"/>
      <c r="J318" s="298"/>
      <c r="K318" s="292"/>
      <c r="L318" s="298"/>
      <c r="M318" s="292"/>
      <c r="N318" s="292"/>
    </row>
    <row r="319" spans="1:14" ht="15.75">
      <c r="A319" s="319"/>
      <c r="B319" s="333"/>
      <c r="C319" s="322"/>
      <c r="D319" s="322"/>
      <c r="H319" s="292"/>
      <c r="I319" s="292"/>
      <c r="J319" s="298"/>
      <c r="K319" s="292"/>
      <c r="L319" s="298"/>
      <c r="M319" s="292"/>
      <c r="N319" s="292"/>
    </row>
    <row r="320" spans="1:14" ht="15.75">
      <c r="A320" s="319"/>
      <c r="B320" s="333"/>
      <c r="C320" s="322"/>
      <c r="D320" s="322"/>
      <c r="H320" s="292"/>
      <c r="I320" s="292"/>
      <c r="J320" s="298"/>
      <c r="K320" s="292"/>
      <c r="L320" s="298"/>
      <c r="M320" s="292"/>
      <c r="N320" s="292"/>
    </row>
    <row r="321" spans="1:14" ht="15.75">
      <c r="A321" s="319"/>
      <c r="B321" s="333"/>
      <c r="C321" s="322"/>
      <c r="D321" s="322"/>
      <c r="H321" s="292"/>
      <c r="I321" s="292"/>
      <c r="J321" s="298"/>
      <c r="K321" s="292"/>
      <c r="L321" s="298"/>
      <c r="M321" s="292"/>
      <c r="N321" s="292"/>
    </row>
    <row r="322" spans="1:14" ht="15.75">
      <c r="A322" s="319"/>
      <c r="B322" s="333"/>
      <c r="C322" s="322"/>
      <c r="D322" s="322"/>
      <c r="H322" s="292"/>
      <c r="I322" s="292"/>
      <c r="J322" s="298"/>
      <c r="K322" s="292"/>
      <c r="L322" s="298"/>
      <c r="M322" s="292"/>
      <c r="N322" s="292"/>
    </row>
    <row r="323" spans="1:14" ht="15.75">
      <c r="A323" s="319"/>
      <c r="B323" s="333"/>
      <c r="C323" s="322"/>
      <c r="D323" s="322"/>
      <c r="H323" s="292"/>
      <c r="I323" s="292"/>
      <c r="J323" s="298"/>
      <c r="K323" s="292"/>
      <c r="L323" s="298"/>
      <c r="M323" s="292"/>
      <c r="N323" s="292"/>
    </row>
    <row r="324" spans="1:14" ht="15.75">
      <c r="A324" s="319"/>
      <c r="B324" s="333"/>
      <c r="C324" s="322"/>
      <c r="D324" s="322"/>
      <c r="H324" s="292"/>
      <c r="I324" s="292"/>
      <c r="J324" s="298"/>
      <c r="K324" s="292"/>
      <c r="L324" s="298"/>
      <c r="M324" s="292"/>
      <c r="N324" s="292"/>
    </row>
    <row r="325" spans="1:14" ht="15.75">
      <c r="A325" s="319"/>
      <c r="B325" s="333"/>
      <c r="C325" s="322"/>
      <c r="D325" s="322"/>
      <c r="H325" s="292"/>
      <c r="I325" s="292"/>
      <c r="J325" s="298"/>
      <c r="K325" s="292"/>
      <c r="L325" s="298"/>
      <c r="M325" s="292"/>
      <c r="N325" s="292"/>
    </row>
    <row r="326" spans="1:14" ht="15.75">
      <c r="A326" s="319"/>
      <c r="B326" s="333"/>
      <c r="C326" s="322"/>
      <c r="D326" s="322"/>
      <c r="H326" s="292"/>
      <c r="I326" s="292"/>
      <c r="J326" s="298"/>
      <c r="K326" s="292"/>
      <c r="L326" s="298"/>
      <c r="M326" s="292"/>
      <c r="N326" s="292"/>
    </row>
    <row r="327" spans="1:14" ht="15.75">
      <c r="A327" s="319"/>
      <c r="B327" s="333"/>
      <c r="C327" s="322"/>
      <c r="D327" s="322"/>
      <c r="H327" s="292"/>
      <c r="I327" s="292"/>
      <c r="J327" s="298"/>
      <c r="K327" s="292"/>
      <c r="L327" s="298"/>
      <c r="M327" s="292"/>
      <c r="N327" s="292"/>
    </row>
    <row r="328" spans="1:14" ht="15.75">
      <c r="A328" s="319"/>
      <c r="B328" s="333"/>
      <c r="C328" s="322"/>
      <c r="D328" s="322"/>
      <c r="H328" s="292"/>
      <c r="I328" s="292"/>
      <c r="J328" s="298"/>
      <c r="K328" s="292"/>
      <c r="L328" s="298"/>
      <c r="M328" s="292"/>
      <c r="N328" s="292"/>
    </row>
    <row r="329" spans="1:14" ht="15.75">
      <c r="A329" s="319"/>
      <c r="B329" s="333"/>
      <c r="C329" s="322"/>
      <c r="D329" s="322"/>
      <c r="H329" s="292"/>
      <c r="I329" s="292"/>
      <c r="J329" s="298"/>
      <c r="K329" s="292"/>
      <c r="L329" s="298"/>
      <c r="M329" s="292"/>
      <c r="N329" s="292"/>
    </row>
    <row r="330" spans="1:14" ht="15.75">
      <c r="A330" s="319"/>
      <c r="B330" s="333"/>
      <c r="C330" s="322"/>
      <c r="D330" s="322"/>
      <c r="H330" s="292"/>
      <c r="I330" s="292"/>
      <c r="J330" s="298"/>
      <c r="K330" s="292"/>
      <c r="L330" s="298"/>
      <c r="M330" s="292"/>
      <c r="N330" s="292"/>
    </row>
    <row r="331" spans="1:14" ht="15.75">
      <c r="A331" s="319"/>
      <c r="B331" s="333"/>
      <c r="C331" s="322"/>
      <c r="D331" s="322"/>
      <c r="H331" s="292"/>
      <c r="I331" s="292"/>
      <c r="J331" s="298"/>
      <c r="K331" s="292"/>
      <c r="L331" s="298"/>
      <c r="M331" s="292"/>
      <c r="N331" s="292"/>
    </row>
    <row r="332" spans="1:14" ht="15.75">
      <c r="A332" s="319"/>
      <c r="B332" s="333"/>
      <c r="C332" s="322"/>
      <c r="D332" s="322"/>
      <c r="H332" s="292"/>
      <c r="I332" s="292"/>
      <c r="J332" s="298"/>
      <c r="K332" s="292"/>
      <c r="L332" s="298"/>
      <c r="M332" s="292"/>
      <c r="N332" s="292"/>
    </row>
    <row r="333" spans="1:14" ht="15.75">
      <c r="A333" s="319"/>
      <c r="B333" s="333"/>
      <c r="C333" s="322"/>
      <c r="D333" s="322"/>
      <c r="H333" s="292"/>
      <c r="I333" s="292"/>
      <c r="J333" s="298"/>
      <c r="K333" s="292"/>
      <c r="L333" s="298"/>
      <c r="M333" s="292"/>
      <c r="N333" s="292"/>
    </row>
    <row r="334" spans="1:14" ht="15.75">
      <c r="A334" s="319"/>
      <c r="B334" s="333"/>
      <c r="C334" s="322"/>
      <c r="D334" s="322"/>
      <c r="H334" s="292"/>
      <c r="I334" s="292"/>
      <c r="J334" s="298"/>
      <c r="K334" s="292"/>
      <c r="L334" s="298"/>
      <c r="M334" s="292"/>
      <c r="N334" s="292"/>
    </row>
    <row r="335" spans="1:14" ht="15.75">
      <c r="A335" s="319"/>
      <c r="B335" s="333"/>
      <c r="C335" s="322"/>
      <c r="D335" s="322"/>
      <c r="H335" s="292"/>
      <c r="I335" s="292"/>
      <c r="J335" s="298"/>
      <c r="K335" s="292"/>
      <c r="L335" s="298"/>
      <c r="M335" s="292"/>
      <c r="N335" s="292"/>
    </row>
    <row r="336" spans="1:14" ht="15.75">
      <c r="A336" s="319"/>
      <c r="B336" s="333"/>
      <c r="C336" s="322"/>
      <c r="D336" s="322"/>
      <c r="H336" s="292"/>
      <c r="I336" s="292"/>
      <c r="J336" s="298"/>
      <c r="K336" s="292"/>
      <c r="L336" s="298"/>
      <c r="M336" s="292"/>
      <c r="N336" s="292"/>
    </row>
    <row r="337" spans="1:14" ht="15.75">
      <c r="A337" s="319"/>
      <c r="B337" s="333"/>
      <c r="C337" s="322"/>
      <c r="D337" s="322"/>
      <c r="H337" s="292"/>
      <c r="I337" s="292"/>
      <c r="J337" s="298"/>
      <c r="K337" s="292"/>
      <c r="L337" s="298"/>
      <c r="M337" s="292"/>
      <c r="N337" s="292"/>
    </row>
    <row r="338" spans="1:14" ht="15.75">
      <c r="A338" s="319"/>
      <c r="B338" s="333"/>
      <c r="C338" s="322"/>
      <c r="D338" s="322"/>
      <c r="H338" s="292"/>
      <c r="I338" s="292"/>
      <c r="J338" s="298"/>
      <c r="K338" s="292"/>
      <c r="L338" s="298"/>
      <c r="M338" s="292"/>
      <c r="N338" s="292"/>
    </row>
    <row r="339" spans="1:14" ht="15.75">
      <c r="A339" s="319"/>
      <c r="B339" s="333"/>
      <c r="C339" s="322"/>
      <c r="D339" s="322"/>
      <c r="H339" s="292"/>
      <c r="I339" s="292"/>
      <c r="J339" s="298"/>
      <c r="K339" s="292"/>
      <c r="L339" s="298"/>
      <c r="M339" s="292"/>
      <c r="N339" s="292"/>
    </row>
    <row r="340" spans="1:14" ht="15.75">
      <c r="A340" s="319"/>
      <c r="B340" s="333"/>
      <c r="C340" s="322"/>
      <c r="D340" s="322"/>
      <c r="H340" s="292"/>
      <c r="I340" s="292"/>
      <c r="J340" s="298"/>
      <c r="K340" s="292"/>
      <c r="L340" s="298"/>
      <c r="M340" s="292"/>
      <c r="N340" s="292"/>
    </row>
    <row r="341" spans="1:14" ht="15.75">
      <c r="A341" s="319"/>
      <c r="B341" s="333"/>
      <c r="C341" s="322"/>
      <c r="D341" s="322"/>
      <c r="H341" s="292"/>
      <c r="I341" s="292"/>
      <c r="J341" s="298"/>
      <c r="K341" s="292"/>
      <c r="L341" s="298"/>
      <c r="M341" s="292"/>
      <c r="N341" s="292"/>
    </row>
    <row r="342" spans="1:14" ht="15.75">
      <c r="A342" s="319"/>
      <c r="B342" s="333"/>
      <c r="C342" s="322"/>
      <c r="D342" s="322"/>
      <c r="H342" s="292"/>
      <c r="I342" s="292"/>
      <c r="J342" s="298"/>
      <c r="K342" s="292"/>
      <c r="L342" s="298"/>
      <c r="M342" s="292"/>
      <c r="N342" s="292"/>
    </row>
    <row r="343" spans="1:14" ht="15.75">
      <c r="A343" s="319"/>
      <c r="B343" s="333"/>
      <c r="C343" s="322"/>
      <c r="D343" s="322"/>
      <c r="H343" s="292"/>
      <c r="I343" s="292"/>
      <c r="J343" s="298"/>
      <c r="K343" s="292"/>
      <c r="L343" s="298"/>
      <c r="M343" s="292"/>
      <c r="N343" s="292"/>
    </row>
    <row r="344" spans="1:14" ht="15.75">
      <c r="A344" s="319"/>
      <c r="B344" s="333"/>
      <c r="C344" s="322"/>
      <c r="D344" s="322"/>
      <c r="H344" s="292"/>
      <c r="I344" s="292"/>
      <c r="J344" s="298"/>
      <c r="K344" s="292"/>
      <c r="L344" s="298"/>
      <c r="M344" s="292"/>
      <c r="N344" s="292"/>
    </row>
    <row r="345" spans="1:14" ht="15.75">
      <c r="A345" s="319"/>
      <c r="B345" s="333"/>
      <c r="C345" s="322"/>
      <c r="D345" s="322"/>
      <c r="H345" s="292"/>
      <c r="I345" s="292"/>
      <c r="J345" s="298"/>
      <c r="K345" s="292"/>
      <c r="L345" s="298"/>
      <c r="M345" s="292"/>
      <c r="N345" s="292"/>
    </row>
    <row r="346" spans="1:14" ht="15.75">
      <c r="A346" s="319"/>
      <c r="B346" s="333"/>
      <c r="C346" s="322"/>
      <c r="D346" s="322"/>
      <c r="H346" s="292"/>
      <c r="I346" s="292"/>
      <c r="J346" s="298"/>
      <c r="K346" s="292"/>
      <c r="L346" s="298"/>
      <c r="M346" s="292"/>
      <c r="N346" s="292"/>
    </row>
    <row r="347" spans="1:14" ht="15.75">
      <c r="A347" s="319"/>
      <c r="B347" s="333"/>
      <c r="C347" s="322"/>
      <c r="D347" s="322"/>
      <c r="H347" s="292"/>
      <c r="I347" s="292"/>
      <c r="J347" s="298"/>
      <c r="K347" s="292"/>
      <c r="L347" s="298"/>
      <c r="M347" s="292"/>
      <c r="N347" s="292"/>
    </row>
    <row r="348" spans="1:14" ht="15.75">
      <c r="A348" s="319"/>
      <c r="B348" s="333"/>
      <c r="C348" s="322"/>
      <c r="D348" s="322"/>
      <c r="H348" s="292"/>
      <c r="I348" s="292"/>
      <c r="J348" s="298"/>
      <c r="K348" s="292"/>
      <c r="L348" s="298"/>
      <c r="M348" s="292"/>
      <c r="N348" s="292"/>
    </row>
    <row r="349" spans="1:14" ht="15.75">
      <c r="A349" s="319"/>
      <c r="B349" s="333"/>
      <c r="C349" s="322"/>
      <c r="D349" s="322"/>
      <c r="H349" s="292"/>
      <c r="I349" s="292"/>
      <c r="J349" s="298"/>
      <c r="K349" s="292"/>
      <c r="L349" s="298"/>
      <c r="M349" s="292"/>
      <c r="N349" s="292"/>
    </row>
    <row r="350" spans="1:14" ht="15.75">
      <c r="A350" s="319"/>
      <c r="B350" s="333"/>
      <c r="C350" s="322"/>
      <c r="D350" s="322"/>
      <c r="H350" s="292"/>
      <c r="I350" s="292"/>
      <c r="J350" s="298"/>
      <c r="K350" s="292"/>
      <c r="L350" s="298"/>
      <c r="M350" s="292"/>
      <c r="N350" s="292"/>
    </row>
    <row r="351" spans="1:14" ht="15.75">
      <c r="A351" s="319"/>
      <c r="B351" s="333"/>
      <c r="C351" s="322"/>
      <c r="D351" s="322"/>
      <c r="H351" s="292"/>
      <c r="I351" s="292"/>
      <c r="J351" s="298"/>
      <c r="K351" s="292"/>
      <c r="L351" s="298"/>
      <c r="M351" s="292"/>
      <c r="N351" s="292"/>
    </row>
    <row r="352" spans="1:14" ht="15.75">
      <c r="A352" s="319"/>
      <c r="B352" s="333"/>
      <c r="C352" s="322"/>
      <c r="D352" s="322"/>
      <c r="H352" s="292"/>
      <c r="I352" s="292"/>
      <c r="J352" s="298"/>
      <c r="K352" s="292"/>
      <c r="L352" s="298"/>
      <c r="M352" s="292"/>
      <c r="N352" s="292"/>
    </row>
    <row r="353" spans="1:14" ht="15.75">
      <c r="A353" s="319"/>
      <c r="B353" s="333"/>
      <c r="C353" s="322"/>
      <c r="D353" s="322"/>
      <c r="H353" s="292"/>
      <c r="I353" s="292"/>
      <c r="J353" s="298"/>
      <c r="K353" s="292"/>
      <c r="L353" s="298"/>
      <c r="M353" s="292"/>
      <c r="N353" s="292"/>
    </row>
    <row r="354" spans="1:14" ht="15.75">
      <c r="A354" s="319"/>
      <c r="B354" s="333"/>
      <c r="C354" s="322"/>
      <c r="D354" s="322"/>
      <c r="H354" s="292"/>
      <c r="I354" s="292"/>
      <c r="J354" s="298"/>
      <c r="K354" s="292"/>
      <c r="L354" s="298"/>
      <c r="M354" s="292"/>
      <c r="N354" s="292"/>
    </row>
    <row r="355" spans="1:14" ht="15.75">
      <c r="A355" s="319"/>
      <c r="B355" s="333"/>
      <c r="C355" s="322"/>
      <c r="D355" s="322"/>
      <c r="H355" s="292"/>
      <c r="I355" s="292"/>
      <c r="J355" s="298"/>
      <c r="K355" s="292"/>
      <c r="L355" s="298"/>
      <c r="M355" s="292"/>
      <c r="N355" s="292"/>
    </row>
    <row r="356" spans="1:14" ht="15.75">
      <c r="A356" s="319"/>
      <c r="B356" s="333"/>
      <c r="C356" s="322"/>
      <c r="D356" s="322"/>
      <c r="H356" s="292"/>
      <c r="I356" s="292"/>
      <c r="J356" s="298"/>
      <c r="K356" s="292"/>
      <c r="L356" s="298"/>
      <c r="M356" s="292"/>
      <c r="N356" s="292"/>
    </row>
    <row r="357" spans="1:14" ht="15.75">
      <c r="A357" s="319"/>
      <c r="B357" s="333"/>
      <c r="C357" s="322"/>
      <c r="D357" s="322"/>
      <c r="H357" s="292"/>
      <c r="I357" s="292"/>
      <c r="J357" s="298"/>
      <c r="K357" s="292"/>
      <c r="L357" s="298"/>
      <c r="M357" s="292"/>
      <c r="N357" s="292"/>
    </row>
    <row r="358" spans="1:14" ht="15.75">
      <c r="A358" s="319"/>
      <c r="B358" s="333"/>
      <c r="C358" s="322"/>
      <c r="D358" s="322"/>
      <c r="H358" s="292"/>
      <c r="I358" s="292"/>
      <c r="J358" s="298"/>
      <c r="K358" s="292"/>
      <c r="L358" s="298"/>
      <c r="M358" s="292"/>
      <c r="N358" s="292"/>
    </row>
    <row r="359" spans="1:14" ht="15.75">
      <c r="A359" s="319"/>
      <c r="B359" s="333"/>
      <c r="C359" s="322"/>
      <c r="D359" s="322"/>
      <c r="H359" s="292"/>
      <c r="I359" s="292"/>
      <c r="J359" s="298"/>
      <c r="K359" s="292"/>
      <c r="L359" s="298"/>
      <c r="M359" s="292"/>
      <c r="N359" s="292"/>
    </row>
    <row r="360" spans="1:14" ht="15.75">
      <c r="A360" s="319"/>
      <c r="B360" s="333"/>
      <c r="C360" s="322"/>
      <c r="D360" s="322"/>
      <c r="H360" s="292"/>
      <c r="I360" s="292"/>
      <c r="J360" s="298"/>
      <c r="K360" s="292"/>
      <c r="L360" s="298"/>
      <c r="M360" s="292"/>
      <c r="N360" s="292"/>
    </row>
    <row r="361" spans="1:14" ht="15.75">
      <c r="A361" s="319"/>
      <c r="B361" s="333"/>
      <c r="C361" s="322"/>
      <c r="D361" s="322"/>
      <c r="H361" s="292"/>
      <c r="I361" s="292"/>
      <c r="J361" s="298"/>
      <c r="K361" s="292"/>
      <c r="L361" s="298"/>
      <c r="M361" s="292"/>
      <c r="N361" s="292"/>
    </row>
    <row r="362" spans="1:14" ht="15.75">
      <c r="A362" s="319"/>
      <c r="B362" s="333"/>
      <c r="C362" s="322"/>
      <c r="D362" s="322"/>
      <c r="H362" s="292"/>
      <c r="I362" s="292"/>
      <c r="J362" s="298"/>
      <c r="K362" s="292"/>
      <c r="L362" s="298"/>
      <c r="M362" s="292"/>
      <c r="N362" s="292"/>
    </row>
    <row r="363" spans="1:14" ht="15.75">
      <c r="A363" s="319"/>
      <c r="B363" s="333"/>
      <c r="C363" s="322"/>
      <c r="D363" s="322"/>
      <c r="H363" s="292"/>
      <c r="I363" s="292"/>
      <c r="J363" s="298"/>
      <c r="K363" s="292"/>
      <c r="L363" s="298"/>
      <c r="M363" s="292"/>
      <c r="N363" s="292"/>
    </row>
    <row r="364" spans="1:14" ht="15.75">
      <c r="A364" s="319"/>
      <c r="B364" s="333"/>
      <c r="C364" s="322"/>
      <c r="D364" s="322"/>
      <c r="H364" s="292"/>
      <c r="I364" s="292"/>
      <c r="J364" s="298"/>
      <c r="K364" s="292"/>
      <c r="L364" s="298"/>
      <c r="M364" s="292"/>
      <c r="N364" s="292"/>
    </row>
    <row r="365" spans="1:14" ht="15.75">
      <c r="A365" s="319"/>
      <c r="B365" s="333"/>
      <c r="C365" s="322"/>
      <c r="D365" s="322"/>
      <c r="H365" s="292"/>
      <c r="I365" s="292"/>
      <c r="J365" s="298"/>
      <c r="K365" s="292"/>
      <c r="L365" s="298"/>
      <c r="M365" s="292"/>
      <c r="N365" s="292"/>
    </row>
    <row r="366" spans="1:14" ht="15.75">
      <c r="A366" s="319"/>
      <c r="B366" s="333"/>
      <c r="C366" s="322"/>
      <c r="D366" s="322"/>
      <c r="H366" s="292"/>
      <c r="I366" s="292"/>
      <c r="J366" s="298"/>
      <c r="K366" s="292"/>
      <c r="L366" s="298"/>
      <c r="M366" s="292"/>
      <c r="N366" s="292"/>
    </row>
    <row r="367" spans="1:14" ht="15.75">
      <c r="A367" s="319"/>
      <c r="B367" s="333"/>
      <c r="C367" s="322"/>
      <c r="D367" s="322"/>
      <c r="H367" s="292"/>
      <c r="I367" s="292"/>
      <c r="J367" s="298"/>
      <c r="K367" s="292"/>
      <c r="L367" s="298"/>
      <c r="M367" s="292"/>
      <c r="N367" s="292"/>
    </row>
    <row r="368" spans="1:14" ht="15.75">
      <c r="A368" s="319"/>
      <c r="B368" s="333"/>
      <c r="C368" s="322"/>
      <c r="D368" s="322"/>
      <c r="H368" s="292"/>
      <c r="I368" s="292"/>
      <c r="J368" s="298"/>
      <c r="K368" s="292"/>
      <c r="L368" s="298"/>
      <c r="M368" s="292"/>
      <c r="N368" s="292"/>
    </row>
    <row r="369" spans="1:14" ht="15.75">
      <c r="A369" s="319"/>
      <c r="B369" s="333"/>
      <c r="C369" s="322"/>
      <c r="D369" s="322"/>
      <c r="H369" s="292"/>
      <c r="I369" s="292"/>
      <c r="J369" s="298"/>
      <c r="K369" s="292"/>
      <c r="L369" s="298"/>
      <c r="M369" s="292"/>
      <c r="N369" s="292"/>
    </row>
    <row r="370" spans="1:14" ht="15.75">
      <c r="A370" s="319"/>
      <c r="B370" s="333"/>
      <c r="C370" s="322"/>
      <c r="D370" s="322"/>
      <c r="H370" s="292"/>
      <c r="I370" s="292"/>
      <c r="J370" s="298"/>
      <c r="K370" s="292"/>
      <c r="L370" s="298"/>
      <c r="M370" s="292"/>
      <c r="N370" s="292"/>
    </row>
    <row r="371" spans="1:14" ht="15.75">
      <c r="A371" s="319"/>
      <c r="B371" s="333"/>
      <c r="C371" s="322"/>
      <c r="D371" s="322"/>
      <c r="H371" s="292"/>
      <c r="I371" s="292"/>
      <c r="J371" s="298"/>
      <c r="K371" s="292"/>
      <c r="L371" s="298"/>
      <c r="M371" s="292"/>
      <c r="N371" s="292"/>
    </row>
    <row r="372" spans="1:14" ht="15.75">
      <c r="A372" s="319"/>
      <c r="B372" s="333"/>
      <c r="C372" s="322"/>
      <c r="D372" s="322"/>
      <c r="H372" s="292"/>
      <c r="I372" s="292"/>
      <c r="J372" s="298"/>
      <c r="K372" s="292"/>
      <c r="L372" s="298"/>
      <c r="M372" s="292"/>
      <c r="N372" s="292"/>
    </row>
    <row r="373" spans="1:14" ht="15.75">
      <c r="A373" s="319"/>
      <c r="B373" s="333"/>
      <c r="C373" s="322"/>
      <c r="D373" s="322"/>
      <c r="H373" s="292"/>
      <c r="I373" s="292"/>
      <c r="J373" s="298"/>
      <c r="K373" s="292"/>
      <c r="L373" s="298"/>
      <c r="M373" s="292"/>
      <c r="N373" s="292"/>
    </row>
    <row r="374" spans="1:14" ht="15.75">
      <c r="A374" s="319"/>
      <c r="B374" s="333"/>
      <c r="C374" s="322"/>
      <c r="D374" s="322"/>
      <c r="H374" s="292"/>
      <c r="I374" s="292"/>
      <c r="J374" s="298"/>
      <c r="K374" s="292"/>
      <c r="L374" s="298"/>
      <c r="M374" s="292"/>
      <c r="N374" s="292"/>
    </row>
    <row r="375" spans="1:14" ht="15.75">
      <c r="A375" s="319"/>
      <c r="B375" s="333"/>
      <c r="C375" s="322"/>
      <c r="D375" s="322"/>
      <c r="H375" s="292"/>
      <c r="I375" s="292"/>
      <c r="J375" s="298"/>
      <c r="K375" s="292"/>
      <c r="L375" s="298"/>
      <c r="M375" s="292"/>
      <c r="N375" s="292"/>
    </row>
    <row r="376" spans="1:14" ht="15.75">
      <c r="A376" s="319"/>
      <c r="B376" s="333"/>
      <c r="C376" s="322"/>
      <c r="D376" s="322"/>
      <c r="H376" s="292"/>
      <c r="I376" s="292"/>
      <c r="J376" s="298"/>
      <c r="K376" s="292"/>
      <c r="L376" s="298"/>
      <c r="M376" s="292"/>
      <c r="N376" s="292"/>
    </row>
    <row r="377" spans="1:14" ht="15.75">
      <c r="A377" s="319"/>
      <c r="B377" s="333"/>
      <c r="C377" s="322"/>
      <c r="D377" s="322"/>
      <c r="H377" s="292"/>
      <c r="I377" s="292"/>
      <c r="J377" s="298"/>
      <c r="K377" s="292"/>
      <c r="L377" s="298"/>
      <c r="M377" s="292"/>
      <c r="N377" s="292"/>
    </row>
    <row r="378" spans="1:14" ht="15.75">
      <c r="A378" s="319"/>
      <c r="B378" s="333"/>
      <c r="C378" s="322"/>
      <c r="D378" s="322"/>
      <c r="H378" s="292"/>
      <c r="I378" s="292"/>
      <c r="J378" s="298"/>
      <c r="K378" s="292"/>
      <c r="L378" s="298"/>
      <c r="M378" s="292"/>
      <c r="N378" s="292"/>
    </row>
    <row r="379" spans="1:14" ht="15.75">
      <c r="A379" s="319"/>
      <c r="B379" s="333"/>
      <c r="C379" s="322"/>
      <c r="D379" s="322"/>
      <c r="H379" s="292"/>
      <c r="I379" s="292"/>
      <c r="J379" s="298"/>
      <c r="K379" s="292"/>
      <c r="L379" s="298"/>
      <c r="M379" s="292"/>
      <c r="N379" s="292"/>
    </row>
    <row r="380" spans="1:14" ht="15.75">
      <c r="A380" s="319"/>
      <c r="B380" s="333"/>
      <c r="C380" s="322"/>
      <c r="D380" s="322"/>
      <c r="H380" s="292"/>
      <c r="I380" s="292"/>
      <c r="J380" s="298"/>
      <c r="K380" s="292"/>
      <c r="L380" s="298"/>
      <c r="M380" s="292"/>
      <c r="N380" s="292"/>
    </row>
    <row r="381" spans="1:14" ht="15.75">
      <c r="A381" s="319"/>
      <c r="B381" s="333"/>
      <c r="C381" s="322"/>
      <c r="D381" s="322"/>
      <c r="H381" s="292"/>
      <c r="I381" s="292"/>
      <c r="J381" s="298"/>
      <c r="K381" s="292"/>
      <c r="L381" s="298"/>
      <c r="M381" s="292"/>
      <c r="N381" s="292"/>
    </row>
    <row r="382" spans="1:14" ht="15.75">
      <c r="A382" s="319"/>
      <c r="B382" s="333"/>
      <c r="C382" s="322"/>
      <c r="D382" s="322"/>
      <c r="H382" s="292"/>
      <c r="I382" s="292"/>
      <c r="J382" s="298"/>
      <c r="K382" s="292"/>
      <c r="L382" s="298"/>
      <c r="M382" s="292"/>
      <c r="N382" s="292"/>
    </row>
    <row r="383" spans="1:14" ht="15.75">
      <c r="A383" s="319"/>
      <c r="B383" s="333"/>
      <c r="C383" s="322"/>
      <c r="D383" s="322"/>
      <c r="H383" s="292"/>
      <c r="I383" s="292"/>
      <c r="J383" s="298"/>
      <c r="K383" s="292"/>
      <c r="L383" s="298"/>
      <c r="M383" s="292"/>
      <c r="N383" s="292"/>
    </row>
    <row r="384" spans="1:14" ht="15.75">
      <c r="A384" s="319"/>
      <c r="B384" s="333"/>
      <c r="C384" s="322"/>
      <c r="D384" s="322"/>
      <c r="H384" s="292"/>
      <c r="I384" s="292"/>
      <c r="J384" s="298"/>
      <c r="K384" s="292"/>
      <c r="L384" s="298"/>
      <c r="M384" s="292"/>
      <c r="N384" s="292"/>
    </row>
    <row r="385" spans="1:14" ht="15.75">
      <c r="A385" s="319"/>
      <c r="B385" s="333"/>
      <c r="C385" s="322"/>
      <c r="D385" s="322"/>
      <c r="H385" s="292"/>
      <c r="I385" s="292"/>
      <c r="J385" s="298"/>
      <c r="K385" s="292"/>
      <c r="L385" s="298"/>
      <c r="M385" s="292"/>
      <c r="N385" s="292"/>
    </row>
    <row r="386" spans="1:14" ht="15.75">
      <c r="A386" s="319"/>
      <c r="B386" s="333"/>
      <c r="C386" s="322"/>
      <c r="D386" s="322"/>
      <c r="H386" s="292"/>
      <c r="I386" s="292"/>
      <c r="J386" s="298"/>
      <c r="K386" s="292"/>
      <c r="L386" s="298"/>
      <c r="M386" s="292"/>
      <c r="N386" s="292"/>
    </row>
    <row r="387" spans="1:14" ht="15.75">
      <c r="A387" s="319"/>
      <c r="B387" s="333"/>
      <c r="C387" s="322"/>
      <c r="D387" s="322"/>
      <c r="H387" s="292"/>
      <c r="I387" s="292"/>
      <c r="J387" s="298"/>
      <c r="K387" s="292"/>
      <c r="L387" s="298"/>
      <c r="M387" s="292"/>
      <c r="N387" s="292"/>
    </row>
    <row r="388" spans="1:14" ht="15.75">
      <c r="A388" s="319"/>
      <c r="B388" s="333"/>
      <c r="C388" s="322"/>
      <c r="D388" s="322"/>
      <c r="H388" s="292"/>
      <c r="I388" s="292"/>
      <c r="J388" s="298"/>
      <c r="K388" s="292"/>
      <c r="L388" s="298"/>
      <c r="M388" s="292"/>
      <c r="N388" s="292"/>
    </row>
    <row r="389" spans="1:14" ht="15.75">
      <c r="A389" s="319"/>
      <c r="B389" s="333"/>
      <c r="C389" s="322"/>
      <c r="D389" s="322"/>
      <c r="H389" s="292"/>
      <c r="I389" s="292"/>
      <c r="J389" s="298"/>
      <c r="K389" s="292"/>
      <c r="L389" s="298"/>
      <c r="M389" s="292"/>
      <c r="N389" s="292"/>
    </row>
    <row r="390" spans="1:14" ht="15.75">
      <c r="A390" s="319"/>
      <c r="B390" s="333"/>
      <c r="C390" s="322"/>
      <c r="D390" s="322"/>
      <c r="H390" s="292"/>
      <c r="I390" s="292"/>
      <c r="J390" s="298"/>
      <c r="K390" s="292"/>
      <c r="L390" s="298"/>
      <c r="M390" s="292"/>
      <c r="N390" s="292"/>
    </row>
    <row r="391" spans="1:14" ht="15.75">
      <c r="A391" s="319"/>
      <c r="B391" s="333"/>
      <c r="C391" s="322"/>
      <c r="D391" s="322"/>
      <c r="H391" s="292"/>
      <c r="I391" s="292"/>
      <c r="J391" s="298"/>
      <c r="K391" s="292"/>
      <c r="L391" s="298"/>
      <c r="M391" s="292"/>
      <c r="N391" s="292"/>
    </row>
    <row r="392" spans="1:14" ht="15.75">
      <c r="A392" s="319"/>
      <c r="B392" s="333"/>
      <c r="C392" s="322"/>
      <c r="D392" s="322"/>
      <c r="H392" s="292"/>
      <c r="I392" s="292"/>
      <c r="J392" s="298"/>
      <c r="K392" s="292"/>
      <c r="L392" s="298"/>
      <c r="M392" s="292"/>
      <c r="N392" s="292"/>
    </row>
    <row r="393" spans="1:14" ht="15.75">
      <c r="A393" s="319"/>
      <c r="B393" s="333"/>
      <c r="C393" s="322"/>
      <c r="D393" s="322"/>
      <c r="H393" s="292"/>
      <c r="I393" s="292"/>
      <c r="J393" s="298"/>
      <c r="K393" s="292"/>
      <c r="L393" s="298"/>
      <c r="M393" s="292"/>
      <c r="N393" s="292"/>
    </row>
    <row r="394" spans="1:14" ht="15.75">
      <c r="A394" s="319"/>
      <c r="B394" s="333"/>
      <c r="C394" s="322"/>
      <c r="D394" s="322"/>
      <c r="H394" s="292"/>
      <c r="I394" s="292"/>
      <c r="J394" s="298"/>
      <c r="K394" s="292"/>
      <c r="L394" s="298"/>
      <c r="M394" s="292"/>
      <c r="N394" s="292"/>
    </row>
    <row r="395" spans="1:14" ht="15.75">
      <c r="A395" s="319"/>
      <c r="B395" s="333"/>
      <c r="C395" s="322"/>
      <c r="D395" s="322"/>
      <c r="H395" s="292"/>
      <c r="I395" s="292"/>
      <c r="J395" s="298"/>
      <c r="K395" s="292"/>
      <c r="L395" s="298"/>
      <c r="M395" s="292"/>
      <c r="N395" s="292"/>
    </row>
    <row r="396" spans="1:14" ht="15.75">
      <c r="A396" s="319"/>
      <c r="B396" s="333"/>
      <c r="C396" s="322"/>
      <c r="D396" s="322"/>
      <c r="H396" s="292"/>
      <c r="I396" s="292"/>
      <c r="J396" s="298"/>
      <c r="K396" s="292"/>
      <c r="L396" s="298"/>
      <c r="M396" s="292"/>
      <c r="N396" s="292"/>
    </row>
    <row r="397" spans="1:14" ht="15.75">
      <c r="A397" s="319"/>
      <c r="B397" s="333"/>
      <c r="C397" s="322"/>
      <c r="D397" s="322"/>
      <c r="H397" s="292"/>
      <c r="I397" s="292"/>
      <c r="J397" s="298"/>
      <c r="K397" s="292"/>
      <c r="L397" s="298"/>
      <c r="M397" s="292"/>
      <c r="N397" s="292"/>
    </row>
    <row r="398" spans="1:14" ht="15.75">
      <c r="A398" s="319"/>
      <c r="B398" s="333"/>
      <c r="C398" s="322"/>
      <c r="D398" s="322"/>
      <c r="H398" s="292"/>
      <c r="I398" s="292"/>
      <c r="J398" s="298"/>
      <c r="K398" s="292"/>
      <c r="L398" s="298"/>
      <c r="M398" s="292"/>
      <c r="N398" s="292"/>
    </row>
    <row r="399" spans="1:14" ht="15.75">
      <c r="A399" s="319"/>
      <c r="B399" s="333"/>
      <c r="C399" s="322"/>
      <c r="D399" s="322"/>
      <c r="H399" s="292"/>
      <c r="I399" s="292"/>
      <c r="J399" s="298"/>
      <c r="K399" s="292"/>
      <c r="L399" s="298"/>
      <c r="M399" s="292"/>
      <c r="N399" s="292"/>
    </row>
    <row r="400" spans="1:14" ht="15.75">
      <c r="A400" s="319"/>
      <c r="B400" s="333"/>
      <c r="C400" s="322"/>
      <c r="D400" s="322"/>
      <c r="H400" s="292"/>
      <c r="I400" s="292"/>
      <c r="J400" s="298"/>
      <c r="K400" s="292"/>
      <c r="L400" s="298"/>
      <c r="M400" s="292"/>
      <c r="N400" s="292"/>
    </row>
    <row r="401" spans="1:14" ht="15.75">
      <c r="A401" s="319"/>
      <c r="B401" s="333"/>
      <c r="C401" s="322"/>
      <c r="D401" s="322"/>
      <c r="H401" s="292"/>
      <c r="I401" s="292"/>
      <c r="J401" s="298"/>
      <c r="K401" s="292"/>
      <c r="L401" s="298"/>
      <c r="M401" s="292"/>
      <c r="N401" s="292"/>
    </row>
    <row r="402" spans="1:14" ht="15.75">
      <c r="A402" s="319"/>
      <c r="B402" s="333"/>
      <c r="C402" s="322"/>
      <c r="D402" s="322"/>
      <c r="H402" s="292"/>
      <c r="I402" s="292"/>
      <c r="J402" s="298"/>
      <c r="K402" s="292"/>
      <c r="L402" s="298"/>
      <c r="M402" s="292"/>
      <c r="N402" s="292"/>
    </row>
    <row r="403" spans="1:14" ht="15.75">
      <c r="A403" s="319"/>
      <c r="B403" s="333"/>
      <c r="C403" s="322"/>
      <c r="D403" s="322"/>
      <c r="H403" s="292"/>
      <c r="I403" s="292"/>
      <c r="J403" s="298"/>
      <c r="K403" s="292"/>
      <c r="L403" s="298"/>
      <c r="M403" s="292"/>
      <c r="N403" s="292"/>
    </row>
    <row r="404" spans="1:14" ht="15.75">
      <c r="A404" s="319"/>
      <c r="B404" s="333"/>
      <c r="C404" s="322"/>
      <c r="D404" s="322"/>
      <c r="H404" s="292"/>
      <c r="I404" s="292"/>
      <c r="J404" s="298"/>
      <c r="K404" s="292"/>
      <c r="L404" s="298"/>
      <c r="M404" s="292"/>
      <c r="N404" s="292"/>
    </row>
    <row r="405" spans="1:14" ht="15.75">
      <c r="A405" s="319"/>
      <c r="B405" s="333"/>
      <c r="C405" s="322"/>
      <c r="D405" s="322"/>
      <c r="H405" s="292"/>
      <c r="I405" s="292"/>
      <c r="J405" s="298"/>
      <c r="K405" s="292"/>
      <c r="L405" s="298"/>
      <c r="M405" s="292"/>
      <c r="N405" s="292"/>
    </row>
    <row r="406" spans="1:14" ht="15.75">
      <c r="A406" s="319"/>
      <c r="B406" s="333"/>
      <c r="C406" s="322"/>
      <c r="D406" s="322"/>
      <c r="H406" s="292"/>
      <c r="I406" s="292"/>
      <c r="J406" s="298"/>
      <c r="K406" s="292"/>
      <c r="L406" s="298"/>
      <c r="M406" s="292"/>
      <c r="N406" s="292"/>
    </row>
    <row r="407" spans="1:14" ht="15.75">
      <c r="A407" s="319"/>
      <c r="B407" s="333"/>
      <c r="C407" s="322"/>
      <c r="D407" s="322"/>
      <c r="H407" s="292"/>
      <c r="I407" s="292"/>
      <c r="J407" s="298"/>
      <c r="K407" s="292"/>
      <c r="L407" s="298"/>
      <c r="M407" s="292"/>
      <c r="N407" s="292"/>
    </row>
    <row r="408" spans="1:14" ht="15.75">
      <c r="A408" s="319"/>
      <c r="B408" s="333"/>
      <c r="C408" s="322"/>
      <c r="D408" s="322"/>
      <c r="H408" s="292"/>
      <c r="I408" s="292"/>
      <c r="J408" s="298"/>
      <c r="K408" s="292"/>
      <c r="L408" s="298"/>
      <c r="M408" s="292"/>
      <c r="N408" s="292"/>
    </row>
    <row r="409" spans="1:14" ht="15.75">
      <c r="A409" s="319"/>
      <c r="B409" s="333"/>
      <c r="C409" s="322"/>
      <c r="D409" s="322"/>
      <c r="H409" s="292"/>
      <c r="I409" s="292"/>
      <c r="J409" s="298"/>
      <c r="K409" s="292"/>
      <c r="L409" s="298"/>
      <c r="M409" s="292"/>
      <c r="N409" s="292"/>
    </row>
    <row r="410" spans="1:14" ht="15.75">
      <c r="A410" s="319"/>
      <c r="B410" s="333"/>
      <c r="C410" s="322"/>
      <c r="D410" s="322"/>
      <c r="H410" s="292"/>
      <c r="I410" s="292"/>
      <c r="J410" s="298"/>
      <c r="K410" s="292"/>
      <c r="L410" s="298"/>
      <c r="M410" s="292"/>
      <c r="N410" s="292"/>
    </row>
    <row r="411" spans="1:14" ht="15.75">
      <c r="A411" s="319"/>
      <c r="B411" s="333"/>
      <c r="C411" s="322"/>
      <c r="D411" s="322"/>
      <c r="H411" s="292"/>
      <c r="I411" s="292"/>
      <c r="J411" s="298"/>
      <c r="K411" s="292"/>
      <c r="L411" s="298"/>
      <c r="M411" s="292"/>
      <c r="N411" s="292"/>
    </row>
    <row r="412" spans="1:14" ht="15.75">
      <c r="A412" s="319"/>
      <c r="B412" s="333"/>
      <c r="C412" s="322"/>
      <c r="D412" s="322"/>
      <c r="H412" s="292"/>
      <c r="I412" s="292"/>
      <c r="J412" s="298"/>
      <c r="K412" s="292"/>
      <c r="L412" s="298"/>
      <c r="M412" s="292"/>
      <c r="N412" s="292"/>
    </row>
    <row r="413" spans="1:14" ht="15.75">
      <c r="A413" s="319"/>
      <c r="B413" s="333"/>
      <c r="C413" s="322"/>
      <c r="D413" s="322"/>
      <c r="H413" s="292"/>
      <c r="I413" s="292"/>
      <c r="J413" s="298"/>
      <c r="K413" s="292"/>
      <c r="L413" s="298"/>
      <c r="M413" s="292"/>
      <c r="N413" s="292"/>
    </row>
    <row r="414" spans="1:14" ht="15.75">
      <c r="A414" s="319"/>
      <c r="B414" s="333"/>
      <c r="C414" s="322"/>
      <c r="D414" s="322"/>
      <c r="H414" s="292"/>
      <c r="I414" s="292"/>
      <c r="J414" s="298"/>
      <c r="K414" s="292"/>
      <c r="L414" s="298"/>
      <c r="M414" s="292"/>
      <c r="N414" s="292"/>
    </row>
    <row r="415" spans="1:14" ht="15.75">
      <c r="A415" s="319"/>
      <c r="B415" s="333"/>
      <c r="C415" s="322"/>
      <c r="D415" s="322"/>
      <c r="H415" s="292"/>
      <c r="I415" s="292"/>
      <c r="J415" s="298"/>
      <c r="K415" s="292"/>
      <c r="L415" s="298"/>
      <c r="M415" s="292"/>
      <c r="N415" s="292"/>
    </row>
    <row r="416" spans="1:14" ht="15.75">
      <c r="A416" s="319"/>
      <c r="B416" s="333"/>
      <c r="C416" s="322"/>
      <c r="D416" s="322"/>
      <c r="H416" s="292"/>
      <c r="I416" s="292"/>
      <c r="J416" s="298"/>
      <c r="K416" s="292"/>
      <c r="L416" s="298"/>
      <c r="M416" s="292"/>
      <c r="N416" s="292"/>
    </row>
    <row r="417" spans="1:14" ht="15.75">
      <c r="A417" s="319"/>
      <c r="B417" s="333"/>
      <c r="C417" s="322"/>
      <c r="D417" s="322"/>
      <c r="H417" s="292"/>
      <c r="I417" s="292"/>
      <c r="J417" s="298"/>
      <c r="K417" s="292"/>
      <c r="L417" s="298"/>
      <c r="M417" s="292"/>
      <c r="N417" s="292"/>
    </row>
    <row r="418" spans="1:14" ht="15.75">
      <c r="A418" s="319"/>
      <c r="B418" s="333"/>
      <c r="C418" s="322"/>
      <c r="D418" s="322"/>
      <c r="H418" s="292"/>
      <c r="I418" s="292"/>
      <c r="J418" s="298"/>
      <c r="K418" s="292"/>
      <c r="L418" s="298"/>
      <c r="M418" s="292"/>
      <c r="N418" s="292"/>
    </row>
    <row r="419" spans="1:14" ht="15.75">
      <c r="A419" s="319"/>
      <c r="B419" s="333"/>
      <c r="C419" s="322"/>
      <c r="D419" s="322"/>
      <c r="H419" s="292"/>
      <c r="I419" s="292"/>
      <c r="J419" s="298"/>
      <c r="K419" s="292"/>
      <c r="L419" s="298"/>
      <c r="M419" s="292"/>
      <c r="N419" s="292"/>
    </row>
    <row r="420" spans="1:14" ht="15.75">
      <c r="A420" s="319"/>
      <c r="B420" s="333"/>
      <c r="C420" s="322"/>
      <c r="D420" s="322"/>
      <c r="H420" s="292"/>
      <c r="I420" s="292"/>
      <c r="J420" s="298"/>
      <c r="K420" s="292"/>
      <c r="L420" s="298"/>
      <c r="M420" s="292"/>
      <c r="N420" s="292"/>
    </row>
    <row r="421" spans="1:14" ht="15.75">
      <c r="A421" s="319"/>
      <c r="B421" s="333"/>
      <c r="C421" s="322"/>
      <c r="D421" s="322"/>
      <c r="H421" s="292"/>
      <c r="I421" s="292"/>
      <c r="J421" s="298"/>
      <c r="K421" s="292"/>
      <c r="L421" s="298"/>
      <c r="M421" s="292"/>
      <c r="N421" s="292"/>
    </row>
    <row r="422" spans="1:14" ht="15.75">
      <c r="A422" s="319"/>
      <c r="B422" s="333"/>
      <c r="C422" s="322"/>
      <c r="D422" s="322"/>
      <c r="H422" s="292"/>
      <c r="I422" s="292"/>
      <c r="J422" s="298"/>
      <c r="K422" s="292"/>
      <c r="L422" s="298"/>
      <c r="M422" s="292"/>
      <c r="N422" s="292"/>
    </row>
    <row r="423" spans="1:14" ht="15.75">
      <c r="A423" s="319"/>
      <c r="B423" s="333"/>
      <c r="C423" s="322"/>
      <c r="D423" s="322"/>
      <c r="H423" s="292"/>
      <c r="I423" s="292"/>
      <c r="J423" s="298"/>
      <c r="K423" s="292"/>
      <c r="L423" s="298"/>
      <c r="M423" s="292"/>
      <c r="N423" s="292"/>
    </row>
    <row r="424" spans="1:14" ht="15.75">
      <c r="A424" s="319"/>
      <c r="B424" s="333"/>
      <c r="C424" s="322"/>
      <c r="D424" s="322"/>
      <c r="H424" s="292"/>
      <c r="I424" s="292"/>
      <c r="J424" s="298"/>
      <c r="K424" s="292"/>
      <c r="L424" s="298"/>
      <c r="M424" s="292"/>
      <c r="N424" s="292"/>
    </row>
    <row r="425" spans="1:14" ht="15.75">
      <c r="A425" s="319"/>
      <c r="B425" s="333"/>
      <c r="C425" s="322"/>
      <c r="D425" s="322"/>
      <c r="H425" s="292"/>
      <c r="I425" s="292"/>
      <c r="J425" s="298"/>
      <c r="K425" s="292"/>
      <c r="L425" s="298"/>
      <c r="M425" s="292"/>
      <c r="N425" s="292"/>
    </row>
    <row r="426" spans="1:14" ht="15.75">
      <c r="A426" s="319"/>
      <c r="B426" s="333"/>
      <c r="C426" s="322"/>
      <c r="D426" s="322"/>
      <c r="H426" s="292"/>
      <c r="I426" s="292"/>
      <c r="J426" s="298"/>
      <c r="K426" s="292"/>
      <c r="L426" s="298"/>
      <c r="M426" s="292"/>
      <c r="N426" s="292"/>
    </row>
    <row r="427" spans="1:14" ht="15.75">
      <c r="A427" s="319"/>
      <c r="B427" s="333"/>
      <c r="C427" s="322"/>
      <c r="D427" s="322"/>
      <c r="H427" s="292"/>
      <c r="I427" s="292"/>
      <c r="J427" s="298"/>
      <c r="K427" s="292"/>
      <c r="L427" s="298"/>
      <c r="M427" s="292"/>
      <c r="N427" s="292"/>
    </row>
    <row r="428" spans="1:14" ht="15.75">
      <c r="A428" s="319"/>
      <c r="B428" s="333"/>
      <c r="C428" s="322"/>
      <c r="D428" s="322"/>
      <c r="H428" s="292"/>
      <c r="I428" s="292"/>
      <c r="J428" s="298"/>
      <c r="K428" s="292"/>
      <c r="L428" s="298"/>
      <c r="M428" s="292"/>
      <c r="N428" s="292"/>
    </row>
    <row r="429" spans="1:14" ht="15.75">
      <c r="A429" s="319"/>
      <c r="B429" s="333"/>
      <c r="C429" s="322"/>
      <c r="D429" s="322"/>
      <c r="H429" s="292"/>
      <c r="I429" s="292"/>
      <c r="J429" s="298"/>
      <c r="K429" s="292"/>
      <c r="L429" s="298"/>
      <c r="M429" s="292"/>
      <c r="N429" s="292"/>
    </row>
    <row r="430" spans="1:14" ht="15.75">
      <c r="A430" s="319"/>
      <c r="B430" s="333"/>
      <c r="C430" s="322"/>
      <c r="D430" s="322"/>
      <c r="H430" s="292"/>
      <c r="I430" s="292"/>
      <c r="J430" s="298"/>
      <c r="K430" s="292"/>
      <c r="L430" s="298"/>
      <c r="M430" s="292"/>
      <c r="N430" s="292"/>
    </row>
    <row r="431" spans="1:14" ht="15.75">
      <c r="A431" s="319"/>
      <c r="B431" s="333"/>
      <c r="C431" s="322"/>
      <c r="D431" s="322"/>
      <c r="H431" s="292"/>
      <c r="I431" s="292"/>
      <c r="J431" s="298"/>
      <c r="K431" s="292"/>
      <c r="L431" s="298"/>
      <c r="M431" s="292"/>
      <c r="N431" s="292"/>
    </row>
    <row r="432" spans="1:14" ht="15.75">
      <c r="A432" s="319"/>
      <c r="B432" s="333"/>
      <c r="C432" s="322"/>
      <c r="D432" s="322"/>
      <c r="H432" s="292"/>
      <c r="I432" s="292"/>
      <c r="J432" s="298"/>
      <c r="K432" s="292"/>
      <c r="L432" s="298"/>
      <c r="M432" s="292"/>
      <c r="N432" s="292"/>
    </row>
    <row r="433" spans="1:14" ht="15.75">
      <c r="A433" s="319"/>
      <c r="B433" s="333"/>
      <c r="C433" s="322"/>
      <c r="D433" s="322"/>
      <c r="H433" s="292"/>
      <c r="I433" s="292"/>
      <c r="J433" s="298"/>
      <c r="K433" s="292"/>
      <c r="L433" s="298"/>
      <c r="M433" s="292"/>
      <c r="N433" s="292"/>
    </row>
    <row r="434" spans="1:14" ht="15.75">
      <c r="A434" s="319"/>
      <c r="B434" s="333"/>
      <c r="C434" s="322"/>
      <c r="D434" s="322"/>
      <c r="H434" s="292"/>
      <c r="I434" s="292"/>
      <c r="J434" s="298"/>
      <c r="K434" s="292"/>
      <c r="L434" s="298"/>
      <c r="M434" s="292"/>
      <c r="N434" s="292"/>
    </row>
    <row r="435" spans="1:14" ht="15.75">
      <c r="A435" s="319"/>
      <c r="B435" s="333"/>
      <c r="C435" s="322"/>
      <c r="D435" s="322"/>
      <c r="H435" s="292"/>
      <c r="I435" s="292"/>
      <c r="J435" s="298"/>
      <c r="K435" s="292"/>
      <c r="L435" s="298"/>
      <c r="M435" s="292"/>
      <c r="N435" s="292"/>
    </row>
    <row r="436" spans="1:14" ht="15.75">
      <c r="A436" s="319"/>
      <c r="B436" s="333"/>
      <c r="C436" s="322"/>
      <c r="D436" s="322"/>
      <c r="H436" s="292"/>
      <c r="I436" s="292"/>
      <c r="J436" s="298"/>
      <c r="K436" s="292"/>
      <c r="L436" s="298"/>
      <c r="M436" s="292"/>
      <c r="N436" s="292"/>
    </row>
    <row r="437" spans="1:14" ht="15.75">
      <c r="A437" s="319"/>
      <c r="B437" s="333"/>
      <c r="C437" s="322"/>
      <c r="D437" s="322"/>
      <c r="H437" s="292"/>
      <c r="I437" s="292"/>
      <c r="J437" s="298"/>
      <c r="K437" s="292"/>
      <c r="L437" s="298"/>
      <c r="M437" s="292"/>
      <c r="N437" s="292"/>
    </row>
    <row r="438" spans="1:14" ht="15.75">
      <c r="A438" s="319"/>
      <c r="B438" s="333"/>
      <c r="C438" s="322"/>
      <c r="D438" s="322"/>
      <c r="H438" s="292"/>
      <c r="I438" s="292"/>
      <c r="J438" s="298"/>
      <c r="K438" s="292"/>
      <c r="L438" s="298"/>
      <c r="M438" s="292"/>
      <c r="N438" s="292"/>
    </row>
    <row r="439" spans="1:14" ht="15.75">
      <c r="A439" s="319"/>
      <c r="B439" s="333"/>
      <c r="C439" s="322"/>
      <c r="D439" s="322"/>
      <c r="H439" s="292"/>
      <c r="I439" s="292"/>
      <c r="J439" s="298"/>
      <c r="K439" s="292"/>
      <c r="L439" s="298"/>
      <c r="M439" s="292"/>
      <c r="N439" s="292"/>
    </row>
    <row r="440" spans="1:14" ht="15.75">
      <c r="A440" s="319"/>
      <c r="B440" s="333"/>
      <c r="C440" s="322"/>
      <c r="D440" s="322"/>
      <c r="H440" s="292"/>
      <c r="I440" s="292"/>
      <c r="J440" s="298"/>
      <c r="K440" s="292"/>
      <c r="L440" s="298"/>
      <c r="M440" s="292"/>
      <c r="N440" s="292"/>
    </row>
    <row r="441" spans="1:14" ht="15.75">
      <c r="A441" s="319"/>
      <c r="B441" s="333"/>
      <c r="C441" s="322"/>
      <c r="D441" s="322"/>
      <c r="H441" s="292"/>
      <c r="I441" s="292"/>
      <c r="J441" s="298"/>
      <c r="K441" s="292"/>
      <c r="L441" s="298"/>
      <c r="M441" s="292"/>
      <c r="N441" s="292"/>
    </row>
    <row r="442" spans="1:14" ht="15.75">
      <c r="A442" s="319"/>
      <c r="B442" s="333"/>
      <c r="C442" s="322"/>
      <c r="D442" s="322"/>
      <c r="H442" s="292"/>
      <c r="I442" s="292"/>
      <c r="J442" s="298"/>
      <c r="K442" s="292"/>
      <c r="L442" s="298"/>
      <c r="M442" s="292"/>
      <c r="N442" s="292"/>
    </row>
    <row r="443" spans="1:14" ht="15.75">
      <c r="A443" s="319"/>
      <c r="B443" s="333"/>
      <c r="C443" s="322"/>
      <c r="D443" s="322"/>
      <c r="H443" s="292"/>
      <c r="I443" s="292"/>
      <c r="J443" s="298"/>
      <c r="K443" s="292"/>
      <c r="L443" s="298"/>
      <c r="M443" s="292"/>
      <c r="N443" s="292"/>
    </row>
    <row r="444" spans="1:14" ht="15.75">
      <c r="A444" s="319"/>
      <c r="B444" s="333"/>
      <c r="C444" s="322"/>
      <c r="D444" s="322"/>
      <c r="H444" s="292"/>
      <c r="I444" s="292"/>
      <c r="J444" s="298"/>
      <c r="K444" s="292"/>
      <c r="L444" s="298"/>
      <c r="M444" s="292"/>
      <c r="N444" s="292"/>
    </row>
    <row r="445" spans="1:14" ht="15.75">
      <c r="A445" s="319"/>
      <c r="B445" s="333"/>
      <c r="C445" s="322"/>
      <c r="D445" s="322"/>
      <c r="H445" s="292"/>
      <c r="I445" s="292"/>
      <c r="J445" s="298"/>
      <c r="K445" s="292"/>
      <c r="L445" s="298"/>
      <c r="M445" s="292"/>
      <c r="N445" s="292"/>
    </row>
    <row r="446" spans="1:14" ht="15.75">
      <c r="A446" s="319"/>
      <c r="B446" s="333"/>
      <c r="C446" s="322"/>
      <c r="D446" s="322"/>
      <c r="H446" s="292"/>
      <c r="I446" s="292"/>
      <c r="J446" s="298"/>
      <c r="K446" s="292"/>
      <c r="L446" s="298"/>
      <c r="M446" s="292"/>
      <c r="N446" s="292"/>
    </row>
    <row r="447" spans="1:14" ht="15.75">
      <c r="A447" s="319"/>
      <c r="B447" s="333"/>
      <c r="C447" s="322"/>
      <c r="D447" s="322"/>
      <c r="H447" s="292"/>
      <c r="I447" s="292"/>
      <c r="J447" s="298"/>
      <c r="K447" s="292"/>
      <c r="L447" s="298"/>
      <c r="M447" s="292"/>
      <c r="N447" s="292"/>
    </row>
    <row r="448" spans="1:14" ht="15.75">
      <c r="A448" s="319"/>
      <c r="B448" s="333"/>
      <c r="C448" s="322"/>
      <c r="D448" s="322"/>
      <c r="H448" s="292"/>
      <c r="I448" s="292"/>
      <c r="J448" s="298"/>
      <c r="K448" s="292"/>
      <c r="L448" s="298"/>
      <c r="M448" s="292"/>
      <c r="N448" s="292"/>
    </row>
    <row r="449" spans="1:14" ht="15.75">
      <c r="A449" s="319"/>
      <c r="B449" s="333"/>
      <c r="C449" s="322"/>
      <c r="D449" s="322"/>
      <c r="H449" s="292"/>
      <c r="I449" s="292"/>
      <c r="J449" s="298"/>
      <c r="K449" s="292"/>
      <c r="L449" s="298"/>
      <c r="M449" s="292"/>
      <c r="N449" s="292"/>
    </row>
    <row r="450" spans="1:14" ht="15.75">
      <c r="A450" s="319"/>
      <c r="B450" s="333"/>
      <c r="C450" s="322"/>
      <c r="D450" s="322"/>
      <c r="H450" s="292"/>
      <c r="I450" s="292"/>
      <c r="J450" s="298"/>
      <c r="K450" s="292"/>
      <c r="L450" s="298"/>
      <c r="M450" s="292"/>
      <c r="N450" s="292"/>
    </row>
    <row r="451" spans="1:14" ht="15.75">
      <c r="A451" s="319"/>
      <c r="B451" s="333"/>
      <c r="C451" s="322"/>
      <c r="D451" s="322"/>
      <c r="H451" s="292"/>
      <c r="I451" s="292"/>
      <c r="J451" s="298"/>
      <c r="K451" s="292"/>
      <c r="L451" s="298"/>
      <c r="M451" s="292"/>
      <c r="N451" s="292"/>
    </row>
    <row r="452" spans="1:14" ht="15.75">
      <c r="A452" s="319"/>
      <c r="B452" s="333"/>
      <c r="C452" s="322"/>
      <c r="D452" s="322"/>
      <c r="H452" s="292"/>
      <c r="I452" s="292"/>
      <c r="J452" s="298"/>
      <c r="K452" s="292"/>
      <c r="L452" s="298"/>
      <c r="M452" s="292"/>
      <c r="N452" s="292"/>
    </row>
    <row r="453" spans="1:14" ht="15.75">
      <c r="A453" s="319"/>
      <c r="B453" s="333"/>
      <c r="C453" s="322"/>
      <c r="D453" s="322"/>
      <c r="H453" s="292"/>
      <c r="I453" s="292"/>
      <c r="J453" s="298"/>
      <c r="K453" s="292"/>
      <c r="L453" s="298"/>
      <c r="M453" s="292"/>
      <c r="N453" s="292"/>
    </row>
    <row r="454" spans="1:14" ht="15.75">
      <c r="A454" s="319"/>
      <c r="B454" s="333"/>
      <c r="C454" s="322"/>
      <c r="D454" s="322"/>
      <c r="H454" s="292"/>
      <c r="I454" s="292"/>
      <c r="J454" s="298"/>
      <c r="K454" s="292"/>
      <c r="L454" s="298"/>
      <c r="M454" s="292"/>
      <c r="N454" s="292"/>
    </row>
    <row r="455" spans="1:14" ht="15.75">
      <c r="A455" s="319"/>
      <c r="B455" s="333"/>
      <c r="C455" s="322"/>
      <c r="D455" s="322"/>
      <c r="H455" s="292"/>
      <c r="I455" s="292"/>
      <c r="J455" s="298"/>
      <c r="K455" s="292"/>
      <c r="L455" s="298"/>
      <c r="M455" s="292"/>
      <c r="N455" s="292"/>
    </row>
    <row r="456" spans="1:14" ht="15.75">
      <c r="A456" s="319"/>
      <c r="B456" s="333"/>
      <c r="C456" s="322"/>
      <c r="D456" s="322"/>
      <c r="H456" s="292"/>
      <c r="I456" s="292"/>
      <c r="J456" s="298"/>
      <c r="K456" s="292"/>
      <c r="L456" s="298"/>
      <c r="M456" s="292"/>
      <c r="N456" s="292"/>
    </row>
    <row r="457" spans="1:14" ht="15.75">
      <c r="A457" s="319"/>
      <c r="B457" s="333"/>
      <c r="C457" s="322"/>
      <c r="D457" s="322"/>
      <c r="H457" s="292"/>
      <c r="I457" s="292"/>
      <c r="J457" s="298"/>
      <c r="K457" s="292"/>
      <c r="L457" s="298"/>
      <c r="M457" s="292"/>
      <c r="N457" s="292"/>
    </row>
    <row r="458" spans="1:14" ht="15.75">
      <c r="A458" s="319"/>
      <c r="B458" s="333"/>
      <c r="C458" s="322"/>
      <c r="D458" s="322"/>
      <c r="H458" s="292"/>
      <c r="I458" s="292"/>
      <c r="J458" s="298"/>
      <c r="K458" s="292"/>
      <c r="L458" s="298"/>
      <c r="M458" s="292"/>
      <c r="N458" s="292"/>
    </row>
    <row r="459" spans="1:14" ht="15.75">
      <c r="A459" s="319"/>
      <c r="B459" s="333"/>
      <c r="C459" s="322"/>
      <c r="D459" s="322"/>
      <c r="H459" s="292"/>
      <c r="I459" s="292"/>
      <c r="J459" s="298"/>
      <c r="K459" s="292"/>
      <c r="L459" s="298"/>
      <c r="M459" s="292"/>
      <c r="N459" s="292"/>
    </row>
    <row r="460" spans="1:14" ht="15.75">
      <c r="A460" s="319"/>
      <c r="B460" s="333"/>
      <c r="C460" s="322"/>
      <c r="D460" s="322"/>
      <c r="H460" s="292"/>
      <c r="I460" s="292"/>
      <c r="J460" s="298"/>
      <c r="K460" s="292"/>
      <c r="L460" s="298"/>
      <c r="M460" s="292"/>
      <c r="N460" s="292"/>
    </row>
    <row r="461" spans="1:14" ht="15.75">
      <c r="A461" s="319"/>
      <c r="B461" s="333"/>
      <c r="C461" s="322"/>
      <c r="D461" s="322"/>
      <c r="H461" s="292"/>
      <c r="I461" s="292"/>
      <c r="J461" s="298"/>
      <c r="K461" s="292"/>
      <c r="L461" s="298"/>
      <c r="M461" s="292"/>
      <c r="N461" s="292"/>
    </row>
    <row r="462" spans="1:14" ht="15.75">
      <c r="A462" s="319"/>
      <c r="B462" s="333"/>
      <c r="C462" s="322"/>
      <c r="D462" s="322"/>
      <c r="H462" s="292"/>
      <c r="I462" s="292"/>
      <c r="J462" s="298"/>
      <c r="K462" s="292"/>
      <c r="L462" s="298"/>
      <c r="M462" s="292"/>
      <c r="N462" s="292"/>
    </row>
    <row r="463" spans="1:14" ht="15.75">
      <c r="A463" s="319"/>
      <c r="B463" s="333"/>
      <c r="C463" s="322"/>
      <c r="D463" s="322"/>
      <c r="H463" s="292"/>
      <c r="I463" s="292"/>
      <c r="J463" s="298"/>
      <c r="K463" s="292"/>
      <c r="L463" s="298"/>
      <c r="M463" s="292"/>
      <c r="N463" s="292"/>
    </row>
    <row r="464" spans="1:14" ht="15.75">
      <c r="A464" s="319"/>
      <c r="B464" s="333"/>
      <c r="C464" s="322"/>
      <c r="D464" s="322"/>
      <c r="H464" s="292"/>
      <c r="I464" s="292"/>
      <c r="J464" s="298"/>
      <c r="K464" s="292"/>
      <c r="L464" s="298"/>
      <c r="M464" s="292"/>
      <c r="N464" s="292"/>
    </row>
    <row r="465" spans="1:14" ht="15.75">
      <c r="A465" s="319"/>
      <c r="B465" s="333"/>
      <c r="C465" s="322"/>
      <c r="D465" s="322"/>
      <c r="H465" s="292"/>
      <c r="I465" s="292"/>
      <c r="J465" s="298"/>
      <c r="K465" s="292"/>
      <c r="L465" s="298"/>
      <c r="M465" s="292"/>
      <c r="N465" s="292"/>
    </row>
    <row r="466" spans="1:14" ht="15.75">
      <c r="A466" s="319"/>
      <c r="B466" s="333"/>
      <c r="C466" s="322"/>
      <c r="D466" s="322"/>
      <c r="H466" s="292"/>
      <c r="I466" s="292"/>
      <c r="J466" s="298"/>
      <c r="K466" s="292"/>
      <c r="L466" s="298"/>
      <c r="M466" s="292"/>
      <c r="N466" s="292"/>
    </row>
    <row r="467" spans="1:14" ht="15.75">
      <c r="A467" s="319"/>
      <c r="B467" s="333"/>
      <c r="C467" s="322"/>
      <c r="D467" s="322"/>
      <c r="H467" s="292"/>
      <c r="I467" s="292"/>
      <c r="J467" s="298"/>
      <c r="K467" s="292"/>
      <c r="L467" s="298"/>
      <c r="M467" s="292"/>
      <c r="N467" s="292"/>
    </row>
    <row r="468" spans="1:14" ht="15.75">
      <c r="A468" s="319"/>
      <c r="B468" s="333"/>
      <c r="C468" s="322"/>
      <c r="D468" s="322"/>
      <c r="H468" s="292"/>
      <c r="I468" s="292"/>
      <c r="J468" s="298"/>
      <c r="K468" s="292"/>
      <c r="L468" s="298"/>
      <c r="M468" s="292"/>
      <c r="N468" s="292"/>
    </row>
    <row r="469" spans="1:14" ht="15.75">
      <c r="A469" s="319"/>
      <c r="B469" s="333"/>
      <c r="C469" s="322"/>
      <c r="D469" s="322"/>
      <c r="H469" s="292"/>
      <c r="I469" s="292"/>
      <c r="J469" s="298"/>
      <c r="K469" s="292"/>
      <c r="L469" s="298"/>
      <c r="M469" s="292"/>
      <c r="N469" s="292"/>
    </row>
    <row r="470" spans="1:14" ht="15.75">
      <c r="A470" s="319"/>
      <c r="B470" s="333"/>
      <c r="C470" s="322"/>
      <c r="D470" s="322"/>
      <c r="H470" s="292"/>
      <c r="I470" s="292"/>
      <c r="J470" s="298"/>
      <c r="K470" s="292"/>
      <c r="L470" s="298"/>
      <c r="M470" s="292"/>
      <c r="N470" s="292"/>
    </row>
    <row r="471" spans="1:14" ht="15.75">
      <c r="A471" s="319"/>
      <c r="B471" s="333"/>
      <c r="C471" s="322"/>
      <c r="D471" s="322"/>
      <c r="H471" s="292"/>
      <c r="I471" s="292"/>
      <c r="J471" s="298"/>
      <c r="K471" s="292"/>
      <c r="L471" s="298"/>
      <c r="M471" s="292"/>
      <c r="N471" s="292"/>
    </row>
    <row r="472" spans="1:14" ht="15.75">
      <c r="A472" s="319"/>
      <c r="B472" s="333"/>
      <c r="C472" s="322"/>
      <c r="D472" s="322"/>
      <c r="H472" s="292"/>
      <c r="I472" s="292"/>
      <c r="J472" s="298"/>
      <c r="K472" s="292"/>
      <c r="L472" s="298"/>
      <c r="M472" s="292"/>
      <c r="N472" s="292"/>
    </row>
    <row r="473" spans="1:14" ht="15.75">
      <c r="A473" s="319"/>
      <c r="B473" s="333"/>
      <c r="C473" s="322"/>
      <c r="D473" s="322"/>
      <c r="H473" s="292"/>
      <c r="I473" s="292"/>
      <c r="J473" s="298"/>
      <c r="K473" s="292"/>
      <c r="L473" s="298"/>
      <c r="M473" s="292"/>
      <c r="N473" s="292"/>
    </row>
    <row r="474" spans="1:14" ht="15.75">
      <c r="A474" s="319"/>
      <c r="B474" s="333"/>
      <c r="C474" s="322"/>
      <c r="D474" s="322"/>
      <c r="H474" s="292"/>
      <c r="I474" s="292"/>
      <c r="J474" s="298"/>
      <c r="K474" s="292"/>
      <c r="L474" s="298"/>
      <c r="M474" s="292"/>
      <c r="N474" s="292"/>
    </row>
    <row r="475" spans="1:14" ht="15.75">
      <c r="A475" s="319"/>
      <c r="B475" s="333"/>
      <c r="C475" s="322"/>
      <c r="D475" s="322"/>
      <c r="H475" s="292"/>
      <c r="I475" s="292"/>
      <c r="J475" s="298"/>
      <c r="K475" s="292"/>
      <c r="L475" s="298"/>
      <c r="M475" s="292"/>
      <c r="N475" s="292"/>
    </row>
    <row r="476" spans="1:14" ht="15.75">
      <c r="A476" s="319"/>
      <c r="B476" s="333"/>
      <c r="C476" s="322"/>
      <c r="D476" s="322"/>
      <c r="H476" s="292"/>
      <c r="I476" s="292"/>
      <c r="J476" s="298"/>
      <c r="K476" s="292"/>
      <c r="L476" s="298"/>
      <c r="M476" s="292"/>
      <c r="N476" s="292"/>
    </row>
    <row r="477" spans="1:14" ht="15.75">
      <c r="A477" s="319"/>
      <c r="B477" s="333"/>
      <c r="C477" s="322"/>
      <c r="D477" s="322"/>
      <c r="H477" s="292"/>
      <c r="I477" s="292"/>
      <c r="J477" s="298"/>
      <c r="K477" s="292"/>
      <c r="L477" s="298"/>
      <c r="M477" s="292"/>
      <c r="N477" s="292"/>
    </row>
    <row r="478" spans="1:14" ht="15.75">
      <c r="A478" s="319"/>
      <c r="B478" s="333"/>
      <c r="C478" s="322"/>
      <c r="D478" s="322"/>
      <c r="H478" s="292"/>
      <c r="I478" s="292"/>
      <c r="J478" s="298"/>
      <c r="K478" s="292"/>
      <c r="L478" s="298"/>
      <c r="M478" s="292"/>
      <c r="N478" s="292"/>
    </row>
    <row r="479" spans="1:14" ht="15.75">
      <c r="A479" s="319"/>
      <c r="B479" s="333"/>
      <c r="C479" s="322"/>
      <c r="D479" s="322"/>
      <c r="H479" s="292"/>
      <c r="I479" s="292"/>
      <c r="J479" s="298"/>
      <c r="K479" s="292"/>
      <c r="L479" s="298"/>
      <c r="M479" s="292"/>
      <c r="N479" s="292"/>
    </row>
    <row r="480" spans="1:14" ht="15.75">
      <c r="A480" s="319"/>
      <c r="B480" s="333"/>
      <c r="C480" s="322"/>
      <c r="D480" s="322"/>
      <c r="H480" s="292"/>
      <c r="I480" s="292"/>
      <c r="J480" s="298"/>
      <c r="K480" s="292"/>
      <c r="L480" s="298"/>
      <c r="M480" s="292"/>
      <c r="N480" s="292"/>
    </row>
    <row r="481" spans="1:14" ht="15.75">
      <c r="A481" s="319"/>
      <c r="B481" s="333"/>
      <c r="C481" s="322"/>
      <c r="D481" s="322"/>
      <c r="H481" s="292"/>
      <c r="I481" s="292"/>
      <c r="J481" s="298"/>
      <c r="K481" s="292"/>
      <c r="L481" s="298"/>
      <c r="M481" s="292"/>
      <c r="N481" s="292"/>
    </row>
    <row r="482" spans="1:14" ht="15.75">
      <c r="A482" s="319"/>
      <c r="B482" s="333"/>
      <c r="C482" s="322"/>
      <c r="D482" s="322"/>
      <c r="H482" s="292"/>
      <c r="I482" s="292"/>
      <c r="J482" s="298"/>
      <c r="K482" s="292"/>
      <c r="L482" s="298"/>
      <c r="M482" s="292"/>
      <c r="N482" s="292"/>
    </row>
    <row r="483" spans="1:14" ht="15.75">
      <c r="A483" s="319"/>
      <c r="B483" s="333"/>
      <c r="C483" s="322"/>
      <c r="D483" s="322"/>
      <c r="H483" s="292"/>
      <c r="I483" s="292"/>
      <c r="J483" s="298"/>
      <c r="K483" s="292"/>
      <c r="L483" s="298"/>
      <c r="M483" s="292"/>
      <c r="N483" s="292"/>
    </row>
    <row r="484" spans="1:14" ht="15.75">
      <c r="A484" s="319"/>
      <c r="B484" s="333"/>
      <c r="C484" s="322"/>
      <c r="D484" s="322"/>
      <c r="H484" s="292"/>
      <c r="I484" s="292"/>
      <c r="J484" s="298"/>
      <c r="K484" s="292"/>
      <c r="L484" s="298"/>
      <c r="M484" s="292"/>
      <c r="N484" s="292"/>
    </row>
    <row r="485" spans="1:14" ht="15.75">
      <c r="A485" s="319"/>
      <c r="B485" s="333"/>
      <c r="C485" s="322"/>
      <c r="D485" s="322"/>
      <c r="H485" s="292"/>
      <c r="I485" s="292"/>
      <c r="J485" s="298"/>
      <c r="K485" s="292"/>
      <c r="L485" s="298"/>
      <c r="M485" s="292"/>
      <c r="N485" s="292"/>
    </row>
    <row r="486" spans="1:14" ht="15.75">
      <c r="A486" s="319"/>
      <c r="B486" s="333"/>
      <c r="C486" s="322"/>
      <c r="D486" s="322"/>
      <c r="H486" s="292"/>
      <c r="I486" s="292"/>
      <c r="J486" s="298"/>
      <c r="K486" s="292"/>
      <c r="L486" s="298"/>
      <c r="M486" s="292"/>
      <c r="N486" s="292"/>
    </row>
    <row r="487" spans="1:14" ht="15.75">
      <c r="A487" s="319"/>
      <c r="B487" s="333"/>
      <c r="C487" s="322"/>
      <c r="D487" s="322"/>
      <c r="H487" s="292"/>
      <c r="I487" s="292"/>
      <c r="J487" s="298"/>
      <c r="K487" s="292"/>
      <c r="L487" s="298"/>
      <c r="M487" s="292"/>
      <c r="N487" s="292"/>
    </row>
    <row r="488" spans="1:14" ht="15.75">
      <c r="A488" s="319"/>
      <c r="B488" s="333"/>
      <c r="C488" s="322"/>
      <c r="D488" s="322"/>
      <c r="H488" s="292"/>
      <c r="I488" s="292"/>
      <c r="J488" s="298"/>
      <c r="K488" s="292"/>
      <c r="L488" s="298"/>
      <c r="M488" s="292"/>
      <c r="N488" s="292"/>
    </row>
    <row r="489" spans="1:14" ht="15.75">
      <c r="A489" s="319"/>
      <c r="B489" s="333"/>
      <c r="C489" s="322"/>
      <c r="D489" s="322"/>
      <c r="H489" s="292"/>
      <c r="I489" s="292"/>
      <c r="J489" s="298"/>
      <c r="K489" s="292"/>
      <c r="L489" s="298"/>
      <c r="M489" s="292"/>
      <c r="N489" s="292"/>
    </row>
    <row r="490" spans="1:14" ht="15.75">
      <c r="A490" s="319"/>
      <c r="B490" s="333"/>
      <c r="C490" s="322"/>
      <c r="D490" s="322"/>
      <c r="H490" s="292"/>
      <c r="I490" s="292"/>
      <c r="J490" s="298"/>
      <c r="K490" s="292"/>
      <c r="L490" s="298"/>
      <c r="M490" s="292"/>
      <c r="N490" s="292"/>
    </row>
    <row r="491" spans="1:14" ht="15.75">
      <c r="A491" s="319"/>
      <c r="B491" s="333"/>
      <c r="C491" s="322"/>
      <c r="D491" s="322"/>
      <c r="H491" s="292"/>
      <c r="I491" s="292"/>
      <c r="J491" s="298"/>
      <c r="K491" s="292"/>
      <c r="L491" s="298"/>
      <c r="M491" s="292"/>
      <c r="N491" s="292"/>
    </row>
    <row r="492" spans="1:14" ht="15.75">
      <c r="A492" s="319"/>
      <c r="B492" s="333"/>
      <c r="C492" s="322"/>
      <c r="D492" s="322"/>
      <c r="H492" s="292"/>
      <c r="I492" s="292"/>
      <c r="J492" s="298"/>
      <c r="K492" s="292"/>
      <c r="L492" s="298"/>
      <c r="M492" s="292"/>
      <c r="N492" s="292"/>
    </row>
    <row r="493" spans="1:14" ht="15.75">
      <c r="A493" s="319"/>
      <c r="B493" s="333"/>
      <c r="C493" s="322"/>
      <c r="D493" s="322"/>
      <c r="H493" s="292"/>
      <c r="I493" s="292"/>
      <c r="J493" s="298"/>
      <c r="K493" s="292"/>
      <c r="L493" s="298"/>
      <c r="M493" s="292"/>
      <c r="N493" s="292"/>
    </row>
    <row r="494" spans="1:14" ht="15.75">
      <c r="A494" s="319"/>
      <c r="B494" s="333"/>
      <c r="C494" s="322"/>
      <c r="D494" s="322"/>
      <c r="H494" s="292"/>
      <c r="I494" s="292"/>
      <c r="J494" s="298"/>
      <c r="K494" s="292"/>
      <c r="L494" s="298"/>
      <c r="M494" s="292"/>
      <c r="N494" s="292"/>
    </row>
    <row r="495" spans="1:14" ht="15.75">
      <c r="A495" s="319"/>
      <c r="B495" s="333"/>
      <c r="C495" s="322"/>
      <c r="D495" s="322"/>
      <c r="H495" s="292"/>
      <c r="I495" s="292"/>
      <c r="J495" s="298"/>
      <c r="K495" s="292"/>
      <c r="L495" s="298"/>
      <c r="M495" s="292"/>
      <c r="N495" s="292"/>
    </row>
    <row r="496" spans="1:14" ht="15.75">
      <c r="A496" s="319"/>
      <c r="B496" s="333"/>
      <c r="C496" s="322"/>
      <c r="D496" s="322"/>
      <c r="H496" s="292"/>
      <c r="I496" s="292"/>
      <c r="J496" s="298"/>
      <c r="K496" s="292"/>
      <c r="L496" s="298"/>
      <c r="M496" s="292"/>
      <c r="N496" s="292"/>
    </row>
    <row r="497" spans="1:14" ht="15.75">
      <c r="A497" s="319"/>
      <c r="B497" s="333"/>
      <c r="C497" s="322"/>
      <c r="D497" s="322"/>
      <c r="H497" s="292"/>
      <c r="I497" s="292"/>
      <c r="J497" s="298"/>
      <c r="K497" s="292"/>
      <c r="L497" s="298"/>
      <c r="M497" s="292"/>
      <c r="N497" s="292"/>
    </row>
    <row r="498" spans="1:14" ht="15.75">
      <c r="A498" s="319"/>
      <c r="B498" s="333"/>
      <c r="C498" s="322"/>
      <c r="D498" s="322"/>
      <c r="H498" s="292"/>
      <c r="I498" s="292"/>
      <c r="J498" s="298"/>
      <c r="K498" s="292"/>
      <c r="L498" s="298"/>
      <c r="M498" s="292"/>
      <c r="N498" s="292"/>
    </row>
    <row r="499" spans="1:14" ht="15.75">
      <c r="A499" s="319"/>
      <c r="B499" s="333"/>
      <c r="C499" s="322"/>
      <c r="D499" s="322"/>
      <c r="H499" s="292"/>
      <c r="I499" s="292"/>
      <c r="J499" s="298"/>
      <c r="K499" s="292"/>
      <c r="L499" s="298"/>
      <c r="M499" s="292"/>
      <c r="N499" s="292"/>
    </row>
    <row r="500" spans="1:14" ht="15.75">
      <c r="A500" s="319"/>
      <c r="B500" s="333"/>
      <c r="C500" s="322"/>
      <c r="D500" s="322"/>
      <c r="H500" s="292"/>
      <c r="I500" s="292"/>
      <c r="J500" s="298"/>
      <c r="K500" s="292"/>
      <c r="L500" s="298"/>
      <c r="M500" s="292"/>
      <c r="N500" s="292"/>
    </row>
    <row r="501" spans="1:14" ht="15.75">
      <c r="A501" s="319"/>
      <c r="B501" s="333"/>
      <c r="C501" s="322"/>
      <c r="D501" s="322"/>
      <c r="H501" s="292"/>
      <c r="I501" s="292"/>
      <c r="J501" s="298"/>
      <c r="K501" s="292"/>
      <c r="L501" s="298"/>
      <c r="M501" s="292"/>
      <c r="N501" s="292"/>
    </row>
    <row r="502" spans="1:14" ht="15.75">
      <c r="A502" s="319"/>
      <c r="B502" s="333"/>
      <c r="C502" s="322"/>
      <c r="D502" s="322"/>
      <c r="H502" s="292"/>
      <c r="I502" s="292"/>
      <c r="J502" s="298"/>
      <c r="K502" s="292"/>
      <c r="L502" s="298"/>
      <c r="M502" s="292"/>
      <c r="N502" s="292"/>
    </row>
    <row r="503" spans="1:14" ht="15.75">
      <c r="A503" s="319"/>
      <c r="B503" s="333"/>
      <c r="C503" s="322"/>
      <c r="D503" s="322"/>
      <c r="H503" s="292"/>
      <c r="I503" s="292"/>
      <c r="J503" s="298"/>
      <c r="K503" s="292"/>
      <c r="L503" s="298"/>
      <c r="M503" s="292"/>
      <c r="N503" s="292"/>
    </row>
    <row r="504" spans="1:14" ht="15.75">
      <c r="A504" s="319"/>
      <c r="B504" s="333"/>
      <c r="C504" s="322"/>
      <c r="D504" s="322"/>
      <c r="H504" s="292"/>
      <c r="I504" s="292"/>
      <c r="J504" s="298"/>
      <c r="K504" s="292"/>
      <c r="L504" s="298"/>
      <c r="M504" s="292"/>
      <c r="N504" s="292"/>
    </row>
    <row r="505" spans="1:14" ht="15.75">
      <c r="A505" s="319"/>
      <c r="B505" s="333"/>
      <c r="C505" s="322"/>
      <c r="D505" s="322"/>
      <c r="H505" s="292"/>
      <c r="I505" s="292"/>
      <c r="J505" s="298"/>
      <c r="K505" s="292"/>
      <c r="L505" s="298"/>
      <c r="M505" s="292"/>
      <c r="N505" s="292"/>
    </row>
    <row r="506" spans="1:14" ht="15.75">
      <c r="A506" s="319"/>
      <c r="B506" s="333"/>
      <c r="C506" s="322"/>
      <c r="D506" s="322"/>
      <c r="H506" s="292"/>
      <c r="I506" s="292"/>
      <c r="J506" s="298"/>
      <c r="K506" s="292"/>
      <c r="L506" s="298"/>
      <c r="M506" s="292"/>
      <c r="N506" s="292"/>
    </row>
    <row r="507" spans="1:14" ht="15.75">
      <c r="A507" s="319"/>
      <c r="B507" s="333"/>
      <c r="C507" s="322"/>
      <c r="D507" s="322"/>
      <c r="H507" s="292"/>
      <c r="I507" s="292"/>
      <c r="J507" s="298"/>
      <c r="K507" s="292"/>
      <c r="L507" s="298"/>
      <c r="M507" s="292"/>
      <c r="N507" s="292"/>
    </row>
    <row r="508" spans="1:14" ht="15.75">
      <c r="A508" s="319"/>
      <c r="B508" s="333"/>
      <c r="C508" s="322"/>
      <c r="D508" s="322"/>
      <c r="H508" s="292"/>
      <c r="I508" s="292"/>
      <c r="J508" s="298"/>
      <c r="K508" s="292"/>
      <c r="L508" s="298"/>
      <c r="M508" s="292"/>
      <c r="N508" s="292"/>
    </row>
    <row r="509" spans="1:14" ht="15.75">
      <c r="A509" s="319"/>
      <c r="B509" s="333"/>
      <c r="C509" s="322"/>
      <c r="D509" s="322"/>
      <c r="H509" s="292"/>
      <c r="I509" s="292"/>
      <c r="J509" s="298"/>
      <c r="K509" s="292"/>
      <c r="L509" s="298"/>
      <c r="M509" s="292"/>
      <c r="N509" s="292"/>
    </row>
    <row r="510" spans="1:14" ht="15.75">
      <c r="A510" s="319"/>
      <c r="B510" s="333"/>
      <c r="C510" s="322"/>
      <c r="D510" s="322"/>
      <c r="H510" s="292"/>
      <c r="I510" s="292"/>
      <c r="J510" s="298"/>
      <c r="K510" s="292"/>
      <c r="L510" s="298"/>
      <c r="M510" s="292"/>
      <c r="N510" s="292"/>
    </row>
    <row r="511" spans="1:14" ht="15.75">
      <c r="A511" s="319"/>
      <c r="B511" s="333"/>
      <c r="C511" s="322"/>
      <c r="D511" s="322"/>
      <c r="H511" s="292"/>
      <c r="I511" s="292"/>
      <c r="J511" s="298"/>
      <c r="K511" s="292"/>
      <c r="L511" s="298"/>
      <c r="M511" s="292"/>
      <c r="N511" s="292"/>
    </row>
    <row r="512" spans="1:14" ht="15.75">
      <c r="A512" s="319"/>
      <c r="B512" s="333"/>
      <c r="C512" s="322"/>
      <c r="D512" s="322"/>
      <c r="H512" s="292"/>
      <c r="I512" s="292"/>
      <c r="J512" s="298"/>
      <c r="K512" s="292"/>
      <c r="L512" s="298"/>
      <c r="M512" s="292"/>
      <c r="N512" s="292"/>
    </row>
    <row r="513" spans="1:14" ht="15.75">
      <c r="A513" s="319"/>
      <c r="B513" s="333"/>
      <c r="C513" s="322"/>
      <c r="D513" s="322"/>
      <c r="H513" s="292"/>
      <c r="I513" s="292"/>
      <c r="J513" s="298"/>
      <c r="K513" s="292"/>
      <c r="L513" s="298"/>
      <c r="M513" s="292"/>
      <c r="N513" s="292"/>
    </row>
    <row r="514" spans="1:14" ht="15.75">
      <c r="A514" s="319"/>
      <c r="B514" s="333"/>
      <c r="C514" s="322"/>
      <c r="D514" s="322"/>
      <c r="H514" s="292"/>
      <c r="I514" s="292"/>
      <c r="J514" s="298"/>
      <c r="K514" s="292"/>
      <c r="L514" s="298"/>
      <c r="M514" s="292"/>
      <c r="N514" s="292"/>
    </row>
    <row r="515" spans="1:14" ht="15.75">
      <c r="A515" s="319"/>
      <c r="B515" s="333"/>
      <c r="C515" s="322"/>
      <c r="D515" s="322"/>
      <c r="H515" s="292"/>
      <c r="I515" s="292"/>
      <c r="J515" s="298"/>
      <c r="K515" s="292"/>
      <c r="L515" s="298"/>
      <c r="M515" s="292"/>
      <c r="N515" s="292"/>
    </row>
    <row r="516" spans="1:14" ht="15.75">
      <c r="A516" s="319"/>
      <c r="B516" s="333"/>
      <c r="C516" s="322"/>
      <c r="D516" s="322"/>
      <c r="H516" s="292"/>
      <c r="I516" s="292"/>
      <c r="J516" s="298"/>
      <c r="K516" s="292"/>
      <c r="L516" s="298"/>
      <c r="M516" s="292"/>
      <c r="N516" s="292"/>
    </row>
    <row r="517" spans="1:14" ht="15.75">
      <c r="A517" s="319"/>
      <c r="B517" s="333"/>
      <c r="C517" s="322"/>
      <c r="D517" s="322"/>
      <c r="H517" s="292"/>
      <c r="I517" s="292"/>
      <c r="J517" s="298"/>
      <c r="K517" s="292"/>
      <c r="L517" s="298"/>
      <c r="M517" s="292"/>
      <c r="N517" s="292"/>
    </row>
    <row r="518" spans="1:14" ht="15.75">
      <c r="A518" s="319"/>
      <c r="B518" s="333"/>
      <c r="C518" s="322"/>
      <c r="D518" s="322"/>
      <c r="H518" s="292"/>
      <c r="I518" s="292"/>
      <c r="J518" s="298"/>
      <c r="K518" s="292"/>
      <c r="L518" s="298"/>
      <c r="M518" s="292"/>
      <c r="N518" s="292"/>
    </row>
    <row r="519" spans="1:14" ht="15.75">
      <c r="A519" s="319"/>
      <c r="B519" s="333"/>
      <c r="C519" s="322"/>
      <c r="D519" s="322"/>
      <c r="H519" s="292"/>
      <c r="I519" s="292"/>
      <c r="J519" s="298"/>
      <c r="K519" s="292"/>
      <c r="L519" s="298"/>
      <c r="M519" s="292"/>
      <c r="N519" s="292"/>
    </row>
    <row r="520" spans="1:14" ht="15.75">
      <c r="A520" s="319"/>
      <c r="B520" s="333"/>
      <c r="C520" s="322"/>
      <c r="D520" s="322"/>
      <c r="H520" s="292"/>
      <c r="I520" s="292"/>
      <c r="J520" s="298"/>
      <c r="K520" s="292"/>
      <c r="L520" s="298"/>
      <c r="M520" s="292"/>
      <c r="N520" s="292"/>
    </row>
    <row r="521" spans="1:14" ht="15.75">
      <c r="A521" s="319"/>
      <c r="B521" s="333"/>
      <c r="C521" s="322"/>
      <c r="D521" s="322"/>
      <c r="H521" s="292"/>
      <c r="I521" s="292"/>
      <c r="J521" s="298"/>
      <c r="K521" s="292"/>
      <c r="L521" s="298"/>
      <c r="M521" s="292"/>
      <c r="N521" s="292"/>
    </row>
    <row r="522" spans="1:14" ht="15.75">
      <c r="A522" s="319"/>
      <c r="B522" s="333"/>
      <c r="C522" s="322"/>
      <c r="D522" s="322"/>
      <c r="H522" s="292"/>
      <c r="I522" s="292"/>
      <c r="J522" s="298"/>
      <c r="K522" s="292"/>
      <c r="L522" s="298"/>
      <c r="M522" s="292"/>
      <c r="N522" s="292"/>
    </row>
    <row r="523" spans="1:14" ht="15.75">
      <c r="A523" s="319"/>
      <c r="B523" s="333"/>
      <c r="C523" s="322"/>
      <c r="D523" s="322"/>
      <c r="H523" s="292"/>
      <c r="I523" s="292"/>
      <c r="J523" s="298"/>
      <c r="K523" s="292"/>
      <c r="L523" s="298"/>
      <c r="M523" s="292"/>
      <c r="N523" s="292"/>
    </row>
    <row r="524" spans="1:14" ht="15.75">
      <c r="A524" s="319"/>
      <c r="B524" s="333"/>
      <c r="C524" s="322"/>
      <c r="D524" s="322"/>
      <c r="H524" s="292"/>
      <c r="I524" s="292"/>
      <c r="J524" s="298"/>
      <c r="K524" s="292"/>
      <c r="L524" s="298"/>
      <c r="M524" s="292"/>
      <c r="N524" s="292"/>
    </row>
    <row r="525" spans="1:14" ht="15.75">
      <c r="A525" s="319"/>
      <c r="B525" s="333"/>
      <c r="C525" s="322"/>
      <c r="D525" s="322"/>
      <c r="H525" s="292"/>
      <c r="I525" s="292"/>
      <c r="J525" s="298"/>
      <c r="K525" s="292"/>
      <c r="L525" s="298"/>
      <c r="M525" s="292"/>
      <c r="N525" s="292"/>
    </row>
    <row r="526" spans="1:14" ht="15.75">
      <c r="A526" s="319"/>
      <c r="B526" s="333"/>
      <c r="C526" s="322"/>
      <c r="D526" s="322"/>
      <c r="H526" s="292"/>
      <c r="I526" s="292"/>
      <c r="J526" s="298"/>
      <c r="K526" s="292"/>
      <c r="L526" s="298"/>
      <c r="M526" s="292"/>
      <c r="N526" s="292"/>
    </row>
    <row r="527" spans="1:14" ht="15.75">
      <c r="A527" s="319"/>
      <c r="B527" s="333"/>
      <c r="C527" s="322"/>
      <c r="D527" s="322"/>
      <c r="H527" s="292"/>
      <c r="I527" s="292"/>
      <c r="J527" s="298"/>
      <c r="K527" s="292"/>
      <c r="L527" s="298"/>
      <c r="M527" s="292"/>
      <c r="N527" s="292"/>
    </row>
    <row r="528" spans="1:14" ht="15.75">
      <c r="A528" s="319"/>
      <c r="B528" s="333"/>
      <c r="C528" s="322"/>
      <c r="D528" s="322"/>
      <c r="H528" s="292"/>
      <c r="I528" s="292"/>
      <c r="J528" s="298"/>
      <c r="K528" s="292"/>
      <c r="L528" s="298"/>
      <c r="M528" s="292"/>
      <c r="N528" s="292"/>
    </row>
    <row r="529" spans="1:14" ht="15.75">
      <c r="A529" s="319"/>
      <c r="B529" s="333"/>
      <c r="C529" s="322"/>
      <c r="D529" s="322"/>
      <c r="H529" s="292"/>
      <c r="I529" s="292"/>
      <c r="J529" s="298"/>
      <c r="K529" s="292"/>
      <c r="L529" s="298"/>
      <c r="M529" s="292"/>
      <c r="N529" s="292"/>
    </row>
    <row r="530" spans="1:14" ht="15.75">
      <c r="A530" s="319"/>
      <c r="B530" s="333"/>
      <c r="C530" s="322"/>
      <c r="D530" s="322"/>
      <c r="H530" s="292"/>
      <c r="I530" s="292"/>
      <c r="J530" s="298"/>
      <c r="K530" s="292"/>
      <c r="L530" s="298"/>
      <c r="M530" s="292"/>
      <c r="N530" s="292"/>
    </row>
    <row r="531" spans="1:14" ht="15.75">
      <c r="A531" s="319"/>
      <c r="B531" s="333"/>
      <c r="C531" s="322"/>
      <c r="D531" s="322"/>
      <c r="H531" s="292"/>
      <c r="I531" s="292"/>
      <c r="J531" s="298"/>
      <c r="K531" s="292"/>
      <c r="L531" s="298"/>
      <c r="M531" s="292"/>
      <c r="N531" s="292"/>
    </row>
    <row r="532" spans="1:14" ht="15.75">
      <c r="A532" s="319"/>
      <c r="B532" s="333"/>
      <c r="C532" s="322"/>
      <c r="D532" s="322"/>
      <c r="H532" s="292"/>
      <c r="I532" s="292"/>
      <c r="J532" s="298"/>
      <c r="K532" s="292"/>
      <c r="L532" s="298"/>
      <c r="M532" s="292"/>
      <c r="N532" s="292"/>
    </row>
    <row r="533" spans="1:14" ht="15.75">
      <c r="A533" s="319"/>
      <c r="B533" s="333"/>
      <c r="C533" s="322"/>
      <c r="D533" s="322"/>
      <c r="H533" s="292"/>
      <c r="I533" s="292"/>
      <c r="J533" s="298"/>
      <c r="K533" s="292"/>
      <c r="L533" s="298"/>
      <c r="M533" s="292"/>
      <c r="N533" s="292"/>
    </row>
    <row r="534" spans="1:14" ht="15.75">
      <c r="A534" s="319"/>
      <c r="B534" s="333"/>
      <c r="C534" s="322"/>
      <c r="D534" s="322"/>
      <c r="H534" s="292"/>
      <c r="I534" s="292"/>
      <c r="J534" s="298"/>
      <c r="K534" s="292"/>
      <c r="L534" s="298"/>
      <c r="M534" s="292"/>
      <c r="N534" s="292"/>
    </row>
    <row r="535" spans="1:14" ht="15.75">
      <c r="A535" s="319"/>
      <c r="B535" s="333"/>
      <c r="C535" s="322"/>
      <c r="D535" s="322"/>
      <c r="H535" s="292"/>
      <c r="I535" s="292"/>
      <c r="J535" s="298"/>
      <c r="K535" s="292"/>
      <c r="L535" s="298"/>
      <c r="M535" s="292"/>
      <c r="N535" s="292"/>
    </row>
    <row r="536" spans="1:14" ht="15.75">
      <c r="A536" s="319"/>
      <c r="B536" s="333"/>
      <c r="C536" s="322"/>
      <c r="D536" s="322"/>
      <c r="H536" s="292"/>
      <c r="I536" s="292"/>
      <c r="J536" s="298"/>
      <c r="K536" s="292"/>
      <c r="L536" s="298"/>
      <c r="M536" s="292"/>
      <c r="N536" s="292"/>
    </row>
    <row r="537" spans="1:14" ht="15.75">
      <c r="A537" s="319"/>
      <c r="B537" s="333"/>
      <c r="C537" s="322"/>
      <c r="D537" s="322"/>
      <c r="H537" s="292"/>
      <c r="I537" s="292"/>
      <c r="J537" s="298"/>
      <c r="K537" s="292"/>
      <c r="L537" s="298"/>
      <c r="M537" s="292"/>
      <c r="N537" s="292"/>
    </row>
    <row r="538" spans="1:14" ht="15.75">
      <c r="A538" s="319"/>
      <c r="B538" s="333"/>
      <c r="C538" s="322"/>
      <c r="D538" s="322"/>
      <c r="H538" s="292"/>
      <c r="I538" s="292"/>
      <c r="J538" s="298"/>
      <c r="K538" s="292"/>
      <c r="L538" s="298"/>
      <c r="M538" s="292"/>
      <c r="N538" s="292"/>
    </row>
    <row r="539" spans="1:14" ht="15.75">
      <c r="A539" s="319"/>
      <c r="B539" s="333"/>
      <c r="C539" s="322"/>
      <c r="D539" s="322"/>
      <c r="H539" s="292"/>
      <c r="I539" s="292"/>
      <c r="J539" s="298"/>
      <c r="K539" s="292"/>
      <c r="L539" s="298"/>
      <c r="M539" s="292"/>
      <c r="N539" s="292"/>
    </row>
    <row r="540" spans="1:14" ht="15.75">
      <c r="A540" s="319"/>
      <c r="B540" s="333"/>
      <c r="C540" s="322"/>
      <c r="D540" s="322"/>
      <c r="H540" s="292"/>
      <c r="I540" s="292"/>
      <c r="J540" s="298"/>
      <c r="K540" s="292"/>
      <c r="L540" s="298"/>
      <c r="M540" s="292"/>
      <c r="N540" s="292"/>
    </row>
    <row r="541" spans="1:14" ht="15.75">
      <c r="A541" s="319"/>
      <c r="B541" s="333"/>
      <c r="C541" s="322"/>
      <c r="D541" s="322"/>
      <c r="H541" s="292"/>
      <c r="I541" s="292"/>
      <c r="J541" s="298"/>
      <c r="K541" s="292"/>
      <c r="L541" s="298"/>
      <c r="M541" s="292"/>
      <c r="N541" s="292"/>
    </row>
    <row r="542" spans="1:14" ht="15.75">
      <c r="A542" s="319"/>
      <c r="B542" s="333"/>
      <c r="C542" s="322"/>
      <c r="D542" s="322"/>
      <c r="H542" s="292"/>
      <c r="I542" s="292"/>
      <c r="J542" s="298"/>
      <c r="K542" s="292"/>
      <c r="L542" s="298"/>
      <c r="M542" s="292"/>
      <c r="N542" s="292"/>
    </row>
    <row r="543" spans="1:14" ht="15.75">
      <c r="A543" s="319"/>
      <c r="B543" s="333"/>
      <c r="C543" s="322"/>
      <c r="D543" s="322"/>
      <c r="H543" s="292"/>
      <c r="I543" s="292"/>
      <c r="J543" s="298"/>
      <c r="K543" s="292"/>
      <c r="L543" s="298"/>
      <c r="M543" s="292"/>
      <c r="N543" s="292"/>
    </row>
    <row r="544" spans="1:14" ht="15.75">
      <c r="A544" s="319"/>
      <c r="B544" s="333"/>
      <c r="C544" s="322"/>
      <c r="D544" s="322"/>
      <c r="H544" s="292"/>
      <c r="I544" s="292"/>
      <c r="J544" s="298"/>
      <c r="K544" s="292"/>
      <c r="L544" s="298"/>
      <c r="M544" s="292"/>
      <c r="N544" s="292"/>
    </row>
    <row r="545" spans="1:14" ht="15.75">
      <c r="A545" s="319"/>
      <c r="B545" s="333"/>
      <c r="C545" s="322"/>
      <c r="D545" s="322"/>
      <c r="H545" s="292"/>
      <c r="I545" s="292"/>
      <c r="J545" s="298"/>
      <c r="K545" s="292"/>
      <c r="L545" s="298"/>
      <c r="M545" s="292"/>
      <c r="N545" s="292"/>
    </row>
    <row r="546" spans="1:14" ht="15.75">
      <c r="A546" s="319"/>
      <c r="B546" s="333"/>
      <c r="C546" s="322"/>
      <c r="D546" s="322"/>
      <c r="H546" s="292"/>
      <c r="I546" s="292"/>
      <c r="J546" s="298"/>
      <c r="K546" s="292"/>
      <c r="L546" s="298"/>
      <c r="M546" s="292"/>
      <c r="N546" s="292"/>
    </row>
    <row r="547" spans="1:14" ht="15.75">
      <c r="A547" s="319"/>
      <c r="B547" s="333"/>
      <c r="C547" s="322"/>
      <c r="D547" s="322"/>
      <c r="H547" s="292"/>
      <c r="I547" s="292"/>
      <c r="J547" s="298"/>
      <c r="K547" s="292"/>
      <c r="L547" s="298"/>
      <c r="M547" s="292"/>
      <c r="N547" s="292"/>
    </row>
    <row r="548" spans="1:14" ht="15.75">
      <c r="A548" s="319"/>
      <c r="B548" s="333"/>
      <c r="C548" s="322"/>
      <c r="D548" s="322"/>
      <c r="H548" s="292"/>
      <c r="I548" s="292"/>
      <c r="J548" s="298"/>
      <c r="K548" s="292"/>
      <c r="L548" s="298"/>
      <c r="M548" s="292"/>
      <c r="N548" s="292"/>
    </row>
    <row r="549" spans="1:14" ht="15.75">
      <c r="A549" s="319"/>
      <c r="B549" s="333"/>
      <c r="C549" s="322"/>
      <c r="D549" s="322"/>
      <c r="H549" s="292"/>
      <c r="I549" s="292"/>
      <c r="J549" s="298"/>
      <c r="K549" s="292"/>
      <c r="L549" s="298"/>
      <c r="M549" s="292"/>
      <c r="N549" s="292"/>
    </row>
    <row r="550" spans="1:14" ht="15.75">
      <c r="A550" s="319"/>
      <c r="B550" s="333"/>
      <c r="C550" s="322"/>
      <c r="D550" s="322"/>
      <c r="H550" s="292"/>
      <c r="I550" s="292"/>
      <c r="J550" s="298"/>
      <c r="K550" s="292"/>
      <c r="L550" s="298"/>
      <c r="M550" s="292"/>
      <c r="N550" s="292"/>
    </row>
    <row r="551" spans="1:14" ht="15.75">
      <c r="A551" s="319"/>
      <c r="B551" s="333"/>
      <c r="C551" s="322"/>
      <c r="D551" s="322"/>
      <c r="H551" s="292"/>
      <c r="I551" s="292"/>
      <c r="J551" s="298"/>
      <c r="K551" s="292"/>
      <c r="L551" s="298"/>
      <c r="M551" s="292"/>
      <c r="N551" s="292"/>
    </row>
    <row r="552" spans="1:14" ht="15.75">
      <c r="A552" s="319"/>
      <c r="B552" s="333"/>
      <c r="C552" s="322"/>
      <c r="D552" s="322"/>
      <c r="H552" s="292"/>
      <c r="I552" s="292"/>
      <c r="J552" s="298"/>
      <c r="K552" s="292"/>
      <c r="L552" s="298"/>
      <c r="M552" s="292"/>
      <c r="N552" s="292"/>
    </row>
    <row r="553" spans="1:14" ht="15.75">
      <c r="A553" s="319"/>
      <c r="B553" s="333"/>
      <c r="C553" s="322"/>
      <c r="D553" s="322"/>
      <c r="H553" s="292"/>
      <c r="I553" s="292"/>
      <c r="J553" s="298"/>
      <c r="K553" s="292"/>
      <c r="L553" s="298"/>
      <c r="M553" s="292"/>
      <c r="N553" s="292"/>
    </row>
    <row r="554" spans="1:14" ht="15.75">
      <c r="A554" s="319"/>
      <c r="B554" s="333"/>
      <c r="C554" s="322"/>
      <c r="D554" s="322"/>
      <c r="H554" s="292"/>
      <c r="I554" s="292"/>
      <c r="J554" s="298"/>
      <c r="K554" s="292"/>
      <c r="L554" s="298"/>
      <c r="M554" s="292"/>
      <c r="N554" s="292"/>
    </row>
    <row r="555" spans="1:14" ht="15.75">
      <c r="A555" s="319"/>
      <c r="B555" s="333"/>
      <c r="C555" s="322"/>
      <c r="D555" s="322"/>
      <c r="H555" s="292"/>
      <c r="I555" s="292"/>
      <c r="J555" s="298"/>
      <c r="K555" s="292"/>
      <c r="L555" s="298"/>
      <c r="M555" s="292"/>
      <c r="N555" s="292"/>
    </row>
    <row r="556" spans="1:14" ht="15.75">
      <c r="A556" s="319"/>
      <c r="B556" s="333"/>
      <c r="C556" s="322"/>
      <c r="D556" s="322"/>
      <c r="H556" s="292"/>
      <c r="I556" s="292"/>
      <c r="J556" s="298"/>
      <c r="K556" s="292"/>
      <c r="L556" s="298"/>
      <c r="M556" s="292"/>
      <c r="N556" s="292"/>
    </row>
    <row r="557" spans="1:14" ht="15.75">
      <c r="A557" s="319"/>
      <c r="B557" s="333"/>
      <c r="C557" s="322"/>
      <c r="D557" s="322"/>
      <c r="H557" s="292"/>
      <c r="I557" s="292"/>
      <c r="J557" s="298"/>
      <c r="K557" s="292"/>
      <c r="L557" s="298"/>
      <c r="M557" s="292"/>
      <c r="N557" s="292"/>
    </row>
    <row r="558" spans="1:14" ht="15.75">
      <c r="A558" s="319"/>
      <c r="B558" s="333"/>
      <c r="C558" s="322"/>
      <c r="D558" s="322"/>
      <c r="H558" s="292"/>
      <c r="I558" s="292"/>
      <c r="J558" s="298"/>
      <c r="K558" s="292"/>
      <c r="L558" s="298"/>
      <c r="M558" s="292"/>
      <c r="N558" s="292"/>
    </row>
    <row r="559" spans="1:14" ht="15.75">
      <c r="A559" s="319"/>
      <c r="B559" s="333"/>
      <c r="C559" s="322"/>
      <c r="D559" s="322"/>
      <c r="H559" s="292"/>
      <c r="I559" s="292"/>
      <c r="J559" s="298"/>
      <c r="K559" s="292"/>
      <c r="L559" s="298"/>
      <c r="M559" s="292"/>
      <c r="N559" s="292"/>
    </row>
    <row r="560" spans="1:14" ht="15.75">
      <c r="A560" s="319"/>
      <c r="B560" s="333"/>
      <c r="C560" s="322"/>
      <c r="D560" s="322"/>
      <c r="H560" s="292"/>
      <c r="I560" s="292"/>
      <c r="J560" s="298"/>
      <c r="K560" s="292"/>
      <c r="L560" s="298"/>
      <c r="M560" s="292"/>
      <c r="N560" s="292"/>
    </row>
    <row r="561" spans="1:14" ht="15.75">
      <c r="A561" s="319"/>
      <c r="B561" s="333"/>
      <c r="C561" s="322"/>
      <c r="D561" s="322"/>
      <c r="H561" s="292"/>
      <c r="I561" s="292"/>
      <c r="J561" s="298"/>
      <c r="K561" s="292"/>
      <c r="L561" s="298"/>
      <c r="M561" s="292"/>
      <c r="N561" s="292"/>
    </row>
    <row r="562" spans="1:14" ht="15.75">
      <c r="A562" s="319"/>
      <c r="B562" s="333"/>
      <c r="C562" s="322"/>
      <c r="D562" s="322"/>
      <c r="H562" s="292"/>
      <c r="I562" s="292"/>
      <c r="J562" s="298"/>
      <c r="K562" s="292"/>
      <c r="L562" s="298"/>
      <c r="M562" s="292"/>
      <c r="N562" s="292"/>
    </row>
    <row r="563" spans="1:14" ht="15.75">
      <c r="A563" s="319"/>
      <c r="B563" s="333"/>
      <c r="C563" s="322"/>
      <c r="D563" s="322"/>
      <c r="H563" s="292"/>
      <c r="I563" s="292"/>
      <c r="J563" s="298"/>
      <c r="K563" s="292"/>
      <c r="L563" s="298"/>
      <c r="M563" s="292"/>
      <c r="N563" s="292"/>
    </row>
    <row r="564" spans="1:14" ht="15.75">
      <c r="A564" s="319"/>
      <c r="B564" s="333"/>
      <c r="C564" s="322"/>
      <c r="D564" s="322"/>
      <c r="H564" s="292"/>
      <c r="I564" s="292"/>
      <c r="J564" s="298"/>
      <c r="K564" s="292"/>
      <c r="L564" s="298"/>
      <c r="M564" s="292"/>
      <c r="N564" s="292"/>
    </row>
    <row r="565" spans="1:14" ht="15.75">
      <c r="A565" s="319"/>
      <c r="B565" s="333"/>
      <c r="C565" s="322"/>
      <c r="D565" s="322"/>
      <c r="H565" s="292"/>
      <c r="I565" s="292"/>
      <c r="J565" s="298"/>
      <c r="K565" s="292"/>
      <c r="L565" s="298"/>
      <c r="M565" s="292"/>
      <c r="N565" s="292"/>
    </row>
    <row r="566" spans="1:14" ht="15.75">
      <c r="A566" s="319"/>
      <c r="B566" s="333"/>
      <c r="C566" s="322"/>
      <c r="D566" s="322"/>
      <c r="H566" s="292"/>
      <c r="I566" s="292"/>
      <c r="J566" s="298"/>
      <c r="K566" s="292"/>
      <c r="L566" s="298"/>
      <c r="M566" s="292"/>
      <c r="N566" s="292"/>
    </row>
    <row r="567" spans="1:14" ht="15.75">
      <c r="A567" s="319"/>
      <c r="B567" s="333"/>
      <c r="C567" s="322"/>
      <c r="D567" s="322"/>
      <c r="H567" s="292"/>
      <c r="I567" s="292"/>
      <c r="J567" s="298"/>
      <c r="K567" s="292"/>
      <c r="L567" s="298"/>
      <c r="M567" s="292"/>
      <c r="N567" s="292"/>
    </row>
    <row r="568" spans="1:14" ht="15.75">
      <c r="A568" s="319"/>
      <c r="B568" s="333"/>
      <c r="C568" s="322"/>
      <c r="D568" s="322"/>
      <c r="H568" s="292"/>
      <c r="I568" s="292"/>
      <c r="J568" s="298"/>
      <c r="K568" s="292"/>
      <c r="L568" s="298"/>
      <c r="M568" s="292"/>
      <c r="N568" s="292"/>
    </row>
    <row r="569" spans="1:14" ht="15.75">
      <c r="A569" s="319"/>
      <c r="B569" s="333"/>
      <c r="C569" s="322"/>
      <c r="D569" s="322"/>
      <c r="H569" s="292"/>
      <c r="I569" s="292"/>
      <c r="J569" s="298"/>
      <c r="K569" s="292"/>
      <c r="L569" s="298"/>
      <c r="M569" s="292"/>
      <c r="N569" s="292"/>
    </row>
    <row r="570" spans="1:14" ht="15.75">
      <c r="A570" s="319"/>
      <c r="B570" s="333"/>
      <c r="C570" s="322"/>
      <c r="D570" s="322"/>
      <c r="H570" s="292"/>
      <c r="I570" s="292"/>
      <c r="J570" s="298"/>
      <c r="K570" s="292"/>
      <c r="L570" s="298"/>
      <c r="M570" s="292"/>
      <c r="N570" s="292"/>
    </row>
    <row r="571" spans="1:14" ht="15.75">
      <c r="A571" s="319"/>
      <c r="B571" s="333"/>
      <c r="C571" s="322"/>
      <c r="D571" s="322"/>
      <c r="H571" s="292"/>
      <c r="I571" s="292"/>
      <c r="J571" s="298"/>
      <c r="K571" s="292"/>
      <c r="L571" s="298"/>
      <c r="M571" s="292"/>
      <c r="N571" s="292"/>
    </row>
    <row r="572" spans="1:14" ht="15.75">
      <c r="A572" s="319"/>
      <c r="B572" s="333"/>
      <c r="C572" s="322"/>
      <c r="D572" s="322"/>
      <c r="H572" s="292"/>
      <c r="I572" s="292"/>
      <c r="J572" s="298"/>
      <c r="K572" s="292"/>
      <c r="L572" s="298"/>
      <c r="M572" s="292"/>
      <c r="N572" s="292"/>
    </row>
    <row r="573" spans="1:14" ht="15.75">
      <c r="A573" s="319"/>
      <c r="B573" s="333"/>
      <c r="C573" s="322"/>
      <c r="D573" s="322"/>
      <c r="H573" s="292"/>
      <c r="I573" s="292"/>
      <c r="J573" s="298"/>
      <c r="K573" s="292"/>
      <c r="L573" s="298"/>
      <c r="M573" s="292"/>
      <c r="N573" s="292"/>
    </row>
    <row r="574" spans="1:14" ht="15.75">
      <c r="A574" s="319"/>
      <c r="B574" s="333"/>
      <c r="C574" s="322"/>
      <c r="D574" s="322"/>
      <c r="H574" s="292"/>
      <c r="I574" s="292"/>
      <c r="J574" s="298"/>
      <c r="K574" s="292"/>
      <c r="L574" s="298"/>
      <c r="M574" s="292"/>
      <c r="N574" s="292"/>
    </row>
    <row r="575" spans="1:14" ht="15.75">
      <c r="A575" s="319"/>
      <c r="B575" s="333"/>
      <c r="C575" s="322"/>
      <c r="D575" s="322"/>
      <c r="H575" s="292"/>
      <c r="I575" s="292"/>
      <c r="J575" s="298"/>
      <c r="K575" s="292"/>
      <c r="L575" s="298"/>
      <c r="M575" s="292"/>
      <c r="N575" s="292"/>
    </row>
    <row r="576" spans="1:14" ht="15.75">
      <c r="A576" s="319"/>
      <c r="B576" s="333"/>
      <c r="C576" s="322"/>
      <c r="D576" s="322"/>
      <c r="H576" s="292"/>
      <c r="I576" s="292"/>
      <c r="J576" s="298"/>
      <c r="K576" s="292"/>
      <c r="L576" s="298"/>
      <c r="M576" s="292"/>
      <c r="N576" s="292"/>
    </row>
    <row r="577" spans="1:14" ht="15.75">
      <c r="A577" s="319"/>
      <c r="B577" s="333"/>
      <c r="C577" s="322"/>
      <c r="D577" s="322"/>
      <c r="H577" s="292"/>
      <c r="I577" s="292"/>
      <c r="J577" s="298"/>
      <c r="K577" s="292"/>
      <c r="L577" s="298"/>
      <c r="M577" s="292"/>
      <c r="N577" s="292"/>
    </row>
    <row r="578" spans="1:14" ht="15.75">
      <c r="A578" s="319"/>
      <c r="B578" s="333"/>
      <c r="C578" s="322"/>
      <c r="D578" s="322"/>
      <c r="H578" s="292"/>
      <c r="I578" s="292"/>
      <c r="J578" s="298"/>
      <c r="K578" s="292"/>
      <c r="L578" s="298"/>
      <c r="M578" s="292"/>
      <c r="N578" s="292"/>
    </row>
    <row r="579" spans="1:14" ht="15.75">
      <c r="A579" s="319"/>
      <c r="B579" s="333"/>
      <c r="C579" s="322"/>
      <c r="D579" s="322"/>
      <c r="H579" s="292"/>
      <c r="I579" s="292"/>
      <c r="J579" s="298"/>
      <c r="K579" s="292"/>
      <c r="L579" s="298"/>
      <c r="M579" s="292"/>
      <c r="N579" s="292"/>
    </row>
    <row r="580" spans="1:14" ht="15.75">
      <c r="A580" s="319"/>
      <c r="B580" s="333"/>
      <c r="C580" s="322"/>
      <c r="D580" s="322"/>
      <c r="H580" s="292"/>
      <c r="I580" s="292"/>
      <c r="J580" s="298"/>
      <c r="K580" s="292"/>
      <c r="L580" s="298"/>
      <c r="M580" s="292"/>
      <c r="N580" s="292"/>
    </row>
    <row r="581" spans="1:14" ht="15.75">
      <c r="A581" s="319"/>
      <c r="B581" s="333"/>
      <c r="C581" s="322"/>
      <c r="D581" s="322"/>
      <c r="H581" s="292"/>
      <c r="I581" s="292"/>
      <c r="J581" s="298"/>
      <c r="K581" s="292"/>
      <c r="L581" s="298"/>
      <c r="M581" s="292"/>
      <c r="N581" s="292"/>
    </row>
    <row r="582" spans="1:14" ht="15.75">
      <c r="A582" s="319"/>
      <c r="B582" s="333"/>
      <c r="C582" s="322"/>
      <c r="D582" s="322"/>
      <c r="H582" s="292"/>
      <c r="I582" s="292"/>
      <c r="J582" s="298"/>
      <c r="K582" s="292"/>
      <c r="L582" s="298"/>
      <c r="M582" s="292"/>
      <c r="N582" s="292"/>
    </row>
    <row r="583" spans="1:14" ht="15.75">
      <c r="A583" s="319"/>
      <c r="B583" s="333"/>
      <c r="C583" s="322"/>
      <c r="D583" s="322"/>
      <c r="H583" s="292"/>
      <c r="I583" s="292"/>
      <c r="J583" s="298"/>
      <c r="K583" s="292"/>
      <c r="L583" s="298"/>
      <c r="M583" s="292"/>
      <c r="N583" s="292"/>
    </row>
    <row r="584" spans="1:14" ht="15.75">
      <c r="A584" s="319"/>
      <c r="B584" s="333"/>
      <c r="C584" s="322"/>
      <c r="D584" s="322"/>
      <c r="H584" s="292"/>
      <c r="I584" s="292"/>
      <c r="J584" s="298"/>
      <c r="K584" s="292"/>
      <c r="L584" s="298"/>
      <c r="M584" s="292"/>
      <c r="N584" s="292"/>
    </row>
    <row r="585" spans="1:14" ht="15.75">
      <c r="A585" s="319"/>
      <c r="B585" s="333"/>
      <c r="C585" s="322"/>
      <c r="D585" s="322"/>
      <c r="H585" s="292"/>
      <c r="I585" s="292"/>
      <c r="J585" s="298"/>
      <c r="K585" s="292"/>
      <c r="L585" s="298"/>
      <c r="M585" s="292"/>
      <c r="N585" s="292"/>
    </row>
    <row r="586" spans="1:14" ht="15.75">
      <c r="A586" s="319"/>
      <c r="B586" s="333"/>
      <c r="C586" s="322"/>
      <c r="D586" s="322"/>
      <c r="H586" s="292"/>
      <c r="I586" s="292"/>
      <c r="J586" s="298"/>
      <c r="K586" s="292"/>
      <c r="L586" s="298"/>
      <c r="M586" s="292"/>
      <c r="N586" s="292"/>
    </row>
    <row r="587" spans="1:14" ht="15.75">
      <c r="A587" s="319"/>
      <c r="B587" s="333"/>
      <c r="C587" s="322"/>
      <c r="D587" s="322"/>
      <c r="H587" s="292"/>
      <c r="I587" s="292"/>
      <c r="J587" s="298"/>
      <c r="K587" s="292"/>
      <c r="L587" s="298"/>
      <c r="M587" s="292"/>
      <c r="N587" s="292"/>
    </row>
    <row r="588" spans="1:14" ht="15.75">
      <c r="A588" s="319"/>
      <c r="B588" s="333"/>
      <c r="C588" s="322"/>
      <c r="D588" s="322"/>
      <c r="H588" s="292"/>
      <c r="I588" s="292"/>
      <c r="J588" s="298"/>
      <c r="K588" s="292"/>
      <c r="L588" s="298"/>
      <c r="M588" s="292"/>
      <c r="N588" s="292"/>
    </row>
    <row r="589" spans="1:14" ht="15.75">
      <c r="A589" s="319"/>
      <c r="B589" s="333"/>
      <c r="C589" s="322"/>
      <c r="D589" s="322"/>
      <c r="H589" s="292"/>
      <c r="I589" s="292"/>
      <c r="J589" s="298"/>
      <c r="K589" s="292"/>
      <c r="L589" s="298"/>
      <c r="M589" s="292"/>
      <c r="N589" s="292"/>
    </row>
    <row r="590" spans="1:14" ht="15.75">
      <c r="A590" s="319"/>
      <c r="B590" s="333"/>
      <c r="C590" s="322"/>
      <c r="D590" s="322"/>
      <c r="H590" s="292"/>
      <c r="I590" s="292"/>
      <c r="J590" s="298"/>
      <c r="K590" s="292"/>
      <c r="L590" s="298"/>
      <c r="M590" s="292"/>
      <c r="N590" s="292"/>
    </row>
    <row r="591" spans="1:14" ht="15.75">
      <c r="A591" s="319"/>
      <c r="B591" s="333"/>
      <c r="C591" s="322"/>
      <c r="D591" s="322"/>
      <c r="H591" s="292"/>
      <c r="I591" s="292"/>
      <c r="J591" s="298"/>
      <c r="K591" s="292"/>
      <c r="L591" s="298"/>
      <c r="M591" s="292"/>
      <c r="N591" s="292"/>
    </row>
    <row r="592" spans="1:14" ht="15.75">
      <c r="A592" s="319"/>
      <c r="B592" s="333"/>
      <c r="C592" s="322"/>
      <c r="D592" s="322"/>
      <c r="H592" s="292"/>
      <c r="I592" s="292"/>
      <c r="J592" s="298"/>
      <c r="K592" s="292"/>
      <c r="L592" s="298"/>
      <c r="M592" s="292"/>
      <c r="N592" s="292"/>
    </row>
    <row r="593" spans="1:14" ht="15.75">
      <c r="A593" s="319"/>
      <c r="B593" s="333"/>
      <c r="C593" s="322"/>
      <c r="D593" s="322"/>
      <c r="H593" s="292"/>
      <c r="I593" s="292"/>
      <c r="J593" s="298"/>
      <c r="K593" s="292"/>
      <c r="L593" s="298"/>
      <c r="M593" s="292"/>
      <c r="N593" s="292"/>
    </row>
    <row r="594" spans="1:14" ht="15.75">
      <c r="A594" s="319"/>
      <c r="B594" s="333"/>
      <c r="C594" s="322"/>
      <c r="D594" s="322"/>
      <c r="H594" s="292"/>
      <c r="I594" s="292"/>
      <c r="J594" s="298"/>
      <c r="K594" s="292"/>
      <c r="L594" s="298"/>
      <c r="M594" s="292"/>
      <c r="N594" s="292"/>
    </row>
    <row r="595" spans="1:14" ht="15.75">
      <c r="A595" s="319"/>
      <c r="B595" s="333"/>
      <c r="C595" s="322"/>
      <c r="D595" s="322"/>
      <c r="H595" s="292"/>
      <c r="I595" s="292"/>
      <c r="J595" s="298"/>
      <c r="K595" s="292"/>
      <c r="L595" s="298"/>
      <c r="M595" s="292"/>
      <c r="N595" s="292"/>
    </row>
    <row r="596" spans="1:14" ht="15.75">
      <c r="A596" s="319"/>
      <c r="B596" s="333"/>
      <c r="C596" s="322"/>
      <c r="D596" s="322"/>
      <c r="H596" s="292"/>
      <c r="I596" s="292"/>
      <c r="J596" s="298"/>
      <c r="K596" s="292"/>
      <c r="L596" s="298"/>
      <c r="M596" s="292"/>
      <c r="N596" s="292"/>
    </row>
    <row r="597" spans="1:14" ht="15.75">
      <c r="A597" s="319"/>
      <c r="B597" s="333"/>
      <c r="C597" s="322"/>
      <c r="D597" s="322"/>
      <c r="H597" s="292"/>
      <c r="I597" s="292"/>
      <c r="J597" s="298"/>
      <c r="K597" s="292"/>
      <c r="L597" s="298"/>
      <c r="M597" s="292"/>
      <c r="N597" s="292"/>
    </row>
    <row r="598" spans="1:14" ht="15.75">
      <c r="A598" s="319"/>
      <c r="B598" s="333"/>
      <c r="C598" s="322"/>
      <c r="D598" s="322"/>
      <c r="H598" s="292"/>
      <c r="I598" s="292"/>
      <c r="J598" s="298"/>
      <c r="K598" s="292"/>
      <c r="L598" s="298"/>
      <c r="M598" s="292"/>
      <c r="N598" s="292"/>
    </row>
    <row r="599" spans="1:14" ht="15.75">
      <c r="A599" s="319"/>
      <c r="B599" s="333"/>
      <c r="C599" s="322"/>
      <c r="D599" s="322"/>
      <c r="H599" s="292"/>
      <c r="I599" s="292"/>
      <c r="J599" s="298"/>
      <c r="K599" s="292"/>
      <c r="L599" s="298"/>
      <c r="M599" s="292"/>
      <c r="N599" s="292"/>
    </row>
    <row r="600" spans="1:14" ht="15.75">
      <c r="A600" s="319"/>
      <c r="B600" s="333"/>
      <c r="C600" s="322"/>
      <c r="D600" s="322"/>
      <c r="H600" s="292"/>
      <c r="I600" s="292"/>
      <c r="J600" s="298"/>
      <c r="K600" s="292"/>
      <c r="L600" s="298"/>
      <c r="M600" s="292"/>
      <c r="N600" s="292"/>
    </row>
    <row r="601" spans="1:14" ht="15.75">
      <c r="A601" s="319"/>
      <c r="B601" s="333"/>
      <c r="C601" s="322"/>
      <c r="D601" s="322"/>
      <c r="H601" s="292"/>
      <c r="I601" s="292"/>
      <c r="J601" s="298"/>
      <c r="K601" s="292"/>
      <c r="L601" s="298"/>
      <c r="M601" s="292"/>
      <c r="N601" s="292"/>
    </row>
    <row r="602" spans="1:14" ht="15.75">
      <c r="A602" s="319"/>
      <c r="B602" s="333"/>
      <c r="C602" s="322"/>
      <c r="D602" s="322"/>
      <c r="H602" s="292"/>
      <c r="I602" s="292"/>
      <c r="J602" s="298"/>
      <c r="K602" s="292"/>
      <c r="L602" s="298"/>
      <c r="M602" s="292"/>
      <c r="N602" s="292"/>
    </row>
    <row r="603" spans="1:14" ht="15.75">
      <c r="A603" s="319"/>
      <c r="B603" s="333"/>
      <c r="C603" s="322"/>
      <c r="D603" s="322"/>
      <c r="H603" s="292"/>
      <c r="I603" s="292"/>
      <c r="J603" s="298"/>
      <c r="K603" s="292"/>
      <c r="L603" s="298"/>
      <c r="M603" s="292"/>
      <c r="N603" s="292"/>
    </row>
    <row r="604" spans="1:14" ht="15.75">
      <c r="A604" s="319"/>
      <c r="B604" s="333"/>
      <c r="C604" s="322"/>
      <c r="D604" s="322"/>
      <c r="H604" s="292"/>
      <c r="I604" s="292"/>
      <c r="J604" s="298"/>
      <c r="K604" s="292"/>
      <c r="L604" s="298"/>
      <c r="M604" s="292"/>
      <c r="N604" s="292"/>
    </row>
    <row r="605" spans="1:14" ht="15.75">
      <c r="A605" s="319"/>
      <c r="B605" s="333"/>
      <c r="C605" s="322"/>
      <c r="D605" s="322"/>
      <c r="H605" s="292"/>
      <c r="I605" s="292"/>
      <c r="J605" s="298"/>
      <c r="K605" s="292"/>
      <c r="L605" s="298"/>
      <c r="M605" s="292"/>
      <c r="N605" s="292"/>
    </row>
    <row r="606" spans="1:14" ht="15.75">
      <c r="A606" s="319"/>
      <c r="B606" s="333"/>
      <c r="C606" s="322"/>
      <c r="D606" s="322"/>
      <c r="H606" s="292"/>
      <c r="I606" s="292"/>
      <c r="J606" s="298"/>
      <c r="K606" s="292"/>
      <c r="L606" s="298"/>
      <c r="M606" s="292"/>
      <c r="N606" s="292"/>
    </row>
    <row r="607" spans="1:14" ht="15.75">
      <c r="A607" s="319"/>
      <c r="B607" s="333"/>
      <c r="C607" s="322"/>
      <c r="D607" s="322"/>
      <c r="H607" s="292"/>
      <c r="I607" s="292"/>
      <c r="J607" s="298"/>
      <c r="K607" s="292"/>
      <c r="L607" s="298"/>
      <c r="M607" s="292"/>
      <c r="N607" s="292"/>
    </row>
    <row r="608" spans="1:14" ht="15.75">
      <c r="A608" s="319"/>
      <c r="B608" s="333"/>
      <c r="C608" s="322"/>
      <c r="D608" s="322"/>
      <c r="H608" s="292"/>
      <c r="I608" s="292"/>
      <c r="J608" s="298"/>
      <c r="K608" s="292"/>
      <c r="L608" s="298"/>
      <c r="M608" s="292"/>
      <c r="N608" s="292"/>
    </row>
    <row r="609" spans="1:14" ht="15.75">
      <c r="A609" s="319"/>
      <c r="B609" s="333"/>
      <c r="C609" s="322"/>
      <c r="D609" s="322"/>
      <c r="H609" s="292"/>
      <c r="I609" s="292"/>
      <c r="J609" s="298"/>
      <c r="K609" s="292"/>
      <c r="L609" s="298"/>
      <c r="M609" s="292"/>
      <c r="N609" s="292"/>
    </row>
    <row r="610" spans="1:14" ht="15.75">
      <c r="A610" s="319"/>
      <c r="B610" s="333"/>
      <c r="C610" s="322"/>
      <c r="D610" s="322"/>
      <c r="H610" s="292"/>
      <c r="I610" s="292"/>
      <c r="J610" s="298"/>
      <c r="K610" s="292"/>
      <c r="L610" s="298"/>
      <c r="M610" s="292"/>
      <c r="N610" s="292"/>
    </row>
    <row r="611" spans="1:14" ht="15.75">
      <c r="A611" s="319"/>
      <c r="B611" s="333"/>
      <c r="C611" s="322"/>
      <c r="D611" s="322"/>
      <c r="H611" s="292"/>
      <c r="I611" s="292"/>
      <c r="J611" s="298"/>
      <c r="K611" s="292"/>
      <c r="L611" s="298"/>
      <c r="M611" s="292"/>
      <c r="N611" s="292"/>
    </row>
    <row r="612" spans="1:14" ht="15.75">
      <c r="A612" s="319"/>
      <c r="B612" s="333"/>
      <c r="C612" s="322"/>
      <c r="D612" s="322"/>
      <c r="H612" s="292"/>
      <c r="I612" s="292"/>
      <c r="J612" s="298"/>
      <c r="K612" s="292"/>
      <c r="L612" s="298"/>
      <c r="M612" s="292"/>
      <c r="N612" s="292"/>
    </row>
    <row r="613" spans="1:14" ht="15.75">
      <c r="A613" s="319"/>
      <c r="B613" s="333"/>
      <c r="C613" s="322"/>
      <c r="D613" s="322"/>
      <c r="H613" s="292"/>
      <c r="I613" s="292"/>
      <c r="J613" s="298"/>
      <c r="K613" s="292"/>
      <c r="L613" s="298"/>
      <c r="M613" s="292"/>
      <c r="N613" s="292"/>
    </row>
    <row r="614" spans="1:14" ht="15.75">
      <c r="A614" s="319"/>
      <c r="B614" s="333"/>
      <c r="C614" s="322"/>
      <c r="D614" s="322"/>
      <c r="H614" s="292"/>
      <c r="I614" s="292"/>
      <c r="J614" s="298"/>
      <c r="K614" s="292"/>
      <c r="L614" s="298"/>
      <c r="M614" s="292"/>
      <c r="N614" s="292"/>
    </row>
    <row r="615" spans="1:14" ht="15.75">
      <c r="A615" s="319"/>
      <c r="B615" s="333"/>
      <c r="C615" s="322"/>
      <c r="D615" s="322"/>
      <c r="H615" s="292"/>
      <c r="I615" s="292"/>
      <c r="J615" s="298"/>
      <c r="K615" s="292"/>
      <c r="L615" s="298"/>
      <c r="M615" s="292"/>
      <c r="N615" s="292"/>
    </row>
  </sheetData>
  <sheetProtection/>
  <autoFilter ref="A9:S38"/>
  <mergeCells count="14">
    <mergeCell ref="D7:D8"/>
    <mergeCell ref="E7:E8"/>
    <mergeCell ref="F7:F8"/>
    <mergeCell ref="H7:I7"/>
    <mergeCell ref="J7:K7"/>
    <mergeCell ref="L7:M7"/>
    <mergeCell ref="N7:N8"/>
    <mergeCell ref="H51:J51"/>
    <mergeCell ref="A1:N1"/>
    <mergeCell ref="A3:N3"/>
    <mergeCell ref="A5:N5"/>
    <mergeCell ref="A7:A8"/>
    <mergeCell ref="B7:B8"/>
    <mergeCell ref="C7:C8"/>
  </mergeCells>
  <printOptions horizontalCentered="1"/>
  <pageMargins left="0.11811023622047245" right="0.11811023622047245" top="0.3937007874015748" bottom="0.3937007874015748" header="0.4330708661417323" footer="0.1968503937007874"/>
  <pageSetup cellComments="asDisplayed" firstPageNumber="1" useFirstPageNumber="1" horizontalDpi="600" verticalDpi="600" orientation="landscape" paperSize="9" scale="87" r:id="rId1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2"/>
  <sheetViews>
    <sheetView zoomScale="85" zoomScaleNormal="85" zoomScaleSheetLayoutView="55" zoomScalePageLayoutView="0" workbookViewId="0" topLeftCell="A1">
      <selection activeCell="G9" sqref="G9"/>
    </sheetView>
  </sheetViews>
  <sheetFormatPr defaultColWidth="9.140625" defaultRowHeight="12.75"/>
  <cols>
    <col min="1" max="1" width="3.8515625" style="381" customWidth="1"/>
    <col min="2" max="2" width="11.8515625" style="362" customWidth="1"/>
    <col min="3" max="3" width="57.421875" style="363" customWidth="1"/>
    <col min="4" max="5" width="8.8515625" style="364" customWidth="1"/>
    <col min="6" max="7" width="10.8515625" style="365" customWidth="1"/>
    <col min="8" max="8" width="8.8515625" style="366" customWidth="1"/>
    <col min="9" max="9" width="12.140625" style="367" customWidth="1"/>
    <col min="10" max="10" width="8.8515625" style="367" customWidth="1"/>
    <col min="11" max="11" width="12.140625" style="367" customWidth="1"/>
    <col min="12" max="12" width="8.8515625" style="367" customWidth="1"/>
    <col min="13" max="13" width="9.7109375" style="367" customWidth="1"/>
    <col min="14" max="14" width="14.28125" style="366" customWidth="1"/>
    <col min="15" max="18" width="12.140625" style="378" customWidth="1"/>
    <col min="19" max="16384" width="9.140625" style="378" customWidth="1"/>
  </cols>
  <sheetData>
    <row r="1" spans="1:14" s="255" customFormat="1" ht="42" customHeight="1">
      <c r="A1" s="686" t="str">
        <f>კრებსიტი!A1</f>
        <v>საბავშვო ბაღის აშენების პროექტი სოფელ იორმუღანლოში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</row>
    <row r="2" spans="1:14" s="255" customFormat="1" ht="9" customHeight="1">
      <c r="A2" s="256"/>
      <c r="B2" s="334"/>
      <c r="C2" s="257"/>
      <c r="D2" s="256"/>
      <c r="E2" s="323"/>
      <c r="F2" s="257"/>
      <c r="G2" s="257"/>
      <c r="H2" s="257"/>
      <c r="I2" s="257"/>
      <c r="J2" s="257"/>
      <c r="K2" s="257"/>
      <c r="L2" s="257"/>
      <c r="M2" s="257"/>
      <c r="N2" s="257"/>
    </row>
    <row r="3" spans="1:14" s="266" customFormat="1" ht="19.5" customHeight="1">
      <c r="A3" s="681" t="s">
        <v>551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</row>
    <row r="4" spans="1:14" s="266" customFormat="1" ht="9" customHeight="1">
      <c r="A4" s="267"/>
      <c r="B4" s="324"/>
      <c r="C4" s="268"/>
      <c r="D4" s="267"/>
      <c r="E4" s="324"/>
      <c r="F4" s="268"/>
      <c r="G4" s="268"/>
      <c r="H4" s="268"/>
      <c r="I4" s="268"/>
      <c r="J4" s="268"/>
      <c r="K4" s="268"/>
      <c r="L4" s="268"/>
      <c r="M4" s="268"/>
      <c r="N4" s="268"/>
    </row>
    <row r="5" spans="1:14" s="269" customFormat="1" ht="18.75" customHeight="1">
      <c r="A5" s="682" t="s">
        <v>465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</row>
    <row r="6" spans="1:14" s="266" customFormat="1" ht="14.25" customHeight="1" thickBot="1">
      <c r="A6" s="270"/>
      <c r="B6" s="325"/>
      <c r="C6" s="271"/>
      <c r="D6" s="270"/>
      <c r="E6" s="325"/>
      <c r="F6" s="272"/>
      <c r="G6" s="272"/>
      <c r="H6" s="272"/>
      <c r="I6" s="272"/>
      <c r="J6" s="273"/>
      <c r="K6" s="272"/>
      <c r="L6" s="273"/>
      <c r="M6" s="272"/>
      <c r="N6" s="272"/>
    </row>
    <row r="7" spans="1:14" s="258" customFormat="1" ht="36" customHeight="1" thickBot="1" thickTop="1">
      <c r="A7" s="687" t="s">
        <v>0</v>
      </c>
      <c r="B7" s="688" t="s">
        <v>464</v>
      </c>
      <c r="C7" s="685" t="s">
        <v>50</v>
      </c>
      <c r="D7" s="687" t="s">
        <v>51</v>
      </c>
      <c r="E7" s="688" t="s">
        <v>52</v>
      </c>
      <c r="F7" s="689" t="s">
        <v>53</v>
      </c>
      <c r="G7" s="635" t="s">
        <v>853</v>
      </c>
      <c r="H7" s="685" t="s">
        <v>54</v>
      </c>
      <c r="I7" s="685"/>
      <c r="J7" s="685" t="s">
        <v>55</v>
      </c>
      <c r="K7" s="685"/>
      <c r="L7" s="685" t="s">
        <v>56</v>
      </c>
      <c r="M7" s="685"/>
      <c r="N7" s="685" t="s">
        <v>57</v>
      </c>
    </row>
    <row r="8" spans="1:14" s="258" customFormat="1" ht="36" customHeight="1" thickBot="1" thickTop="1">
      <c r="A8" s="687"/>
      <c r="B8" s="688"/>
      <c r="C8" s="685"/>
      <c r="D8" s="687"/>
      <c r="E8" s="688"/>
      <c r="F8" s="689"/>
      <c r="G8" s="635" t="s">
        <v>858</v>
      </c>
      <c r="H8" s="274" t="s">
        <v>58</v>
      </c>
      <c r="I8" s="275" t="s">
        <v>59</v>
      </c>
      <c r="J8" s="274" t="s">
        <v>58</v>
      </c>
      <c r="K8" s="275" t="s">
        <v>59</v>
      </c>
      <c r="L8" s="274" t="s">
        <v>58</v>
      </c>
      <c r="M8" s="275" t="s">
        <v>59</v>
      </c>
      <c r="N8" s="685"/>
    </row>
    <row r="9" spans="1:14" s="265" customFormat="1" ht="14.25" customHeight="1" thickBot="1" thickTop="1">
      <c r="A9" s="260">
        <v>1</v>
      </c>
      <c r="B9" s="335">
        <v>2</v>
      </c>
      <c r="C9" s="261">
        <v>3</v>
      </c>
      <c r="D9" s="262">
        <v>4</v>
      </c>
      <c r="E9" s="326">
        <v>5</v>
      </c>
      <c r="F9" s="263">
        <v>6</v>
      </c>
      <c r="G9" s="263"/>
      <c r="H9" s="264">
        <v>7</v>
      </c>
      <c r="I9" s="264">
        <v>8</v>
      </c>
      <c r="J9" s="264">
        <v>9</v>
      </c>
      <c r="K9" s="264">
        <v>10</v>
      </c>
      <c r="L9" s="264">
        <v>11</v>
      </c>
      <c r="M9" s="264">
        <v>12</v>
      </c>
      <c r="N9" s="264">
        <v>13</v>
      </c>
    </row>
    <row r="10" spans="1:19" s="368" customFormat="1" ht="18.75" thickTop="1">
      <c r="A10" s="361"/>
      <c r="B10" s="362"/>
      <c r="C10" s="439" t="s">
        <v>508</v>
      </c>
      <c r="D10" s="364"/>
      <c r="E10" s="364"/>
      <c r="F10" s="365"/>
      <c r="G10" s="365"/>
      <c r="H10" s="366"/>
      <c r="I10" s="367"/>
      <c r="J10" s="367"/>
      <c r="K10" s="367"/>
      <c r="L10" s="367"/>
      <c r="M10" s="367"/>
      <c r="N10" s="366"/>
      <c r="R10" s="369"/>
      <c r="S10" s="369"/>
    </row>
    <row r="11" spans="1:19" ht="18" customHeight="1">
      <c r="A11" s="371">
        <v>1</v>
      </c>
      <c r="B11" s="372"/>
      <c r="C11" s="373" t="s">
        <v>361</v>
      </c>
      <c r="D11" s="374" t="s">
        <v>362</v>
      </c>
      <c r="E11" s="374"/>
      <c r="F11" s="375">
        <v>3</v>
      </c>
      <c r="G11" s="375"/>
      <c r="H11" s="376"/>
      <c r="I11" s="377"/>
      <c r="J11" s="377"/>
      <c r="K11" s="377"/>
      <c r="L11" s="377"/>
      <c r="M11" s="377"/>
      <c r="N11" s="376"/>
      <c r="R11" s="369"/>
      <c r="S11" s="369"/>
    </row>
    <row r="12" spans="1:19" ht="18" customHeight="1">
      <c r="A12" s="371">
        <v>2</v>
      </c>
      <c r="B12" s="372" t="s">
        <v>363</v>
      </c>
      <c r="C12" s="373" t="s">
        <v>364</v>
      </c>
      <c r="D12" s="374" t="s">
        <v>362</v>
      </c>
      <c r="E12" s="374"/>
      <c r="F12" s="375">
        <v>2</v>
      </c>
      <c r="G12" s="375"/>
      <c r="H12" s="376"/>
      <c r="I12" s="377"/>
      <c r="J12" s="377"/>
      <c r="K12" s="377"/>
      <c r="L12" s="377"/>
      <c r="M12" s="377"/>
      <c r="N12" s="376"/>
      <c r="R12" s="369"/>
      <c r="S12" s="369"/>
    </row>
    <row r="13" spans="1:19" ht="18" customHeight="1">
      <c r="A13" s="371">
        <v>3</v>
      </c>
      <c r="B13" s="372"/>
      <c r="C13" s="373" t="s">
        <v>365</v>
      </c>
      <c r="D13" s="374" t="s">
        <v>362</v>
      </c>
      <c r="E13" s="374"/>
      <c r="F13" s="375">
        <v>2</v>
      </c>
      <c r="G13" s="375"/>
      <c r="H13" s="376"/>
      <c r="I13" s="377"/>
      <c r="J13" s="377"/>
      <c r="K13" s="377"/>
      <c r="L13" s="377"/>
      <c r="M13" s="377"/>
      <c r="N13" s="376"/>
      <c r="R13" s="369"/>
      <c r="S13" s="369"/>
    </row>
    <row r="14" spans="1:19" ht="18" customHeight="1">
      <c r="A14" s="371">
        <v>4</v>
      </c>
      <c r="B14" s="372"/>
      <c r="C14" s="373" t="s">
        <v>366</v>
      </c>
      <c r="D14" s="374" t="s">
        <v>362</v>
      </c>
      <c r="E14" s="374"/>
      <c r="F14" s="375">
        <v>2</v>
      </c>
      <c r="G14" s="375"/>
      <c r="H14" s="376"/>
      <c r="I14" s="377"/>
      <c r="J14" s="377"/>
      <c r="K14" s="377"/>
      <c r="L14" s="377"/>
      <c r="M14" s="377"/>
      <c r="N14" s="376"/>
      <c r="R14" s="369"/>
      <c r="S14" s="369"/>
    </row>
    <row r="15" spans="1:19" ht="18" customHeight="1">
      <c r="A15" s="371">
        <v>5</v>
      </c>
      <c r="B15" s="372"/>
      <c r="C15" s="373" t="s">
        <v>367</v>
      </c>
      <c r="D15" s="374" t="s">
        <v>362</v>
      </c>
      <c r="E15" s="374"/>
      <c r="F15" s="375">
        <v>1</v>
      </c>
      <c r="G15" s="375"/>
      <c r="H15" s="376"/>
      <c r="I15" s="377"/>
      <c r="J15" s="377"/>
      <c r="K15" s="377"/>
      <c r="L15" s="377"/>
      <c r="M15" s="377"/>
      <c r="N15" s="376"/>
      <c r="R15" s="369"/>
      <c r="S15" s="369"/>
    </row>
    <row r="16" spans="1:19" ht="18" customHeight="1">
      <c r="A16" s="371">
        <v>6</v>
      </c>
      <c r="B16" s="372" t="s">
        <v>368</v>
      </c>
      <c r="C16" s="373" t="s">
        <v>369</v>
      </c>
      <c r="D16" s="374" t="s">
        <v>362</v>
      </c>
      <c r="E16" s="374"/>
      <c r="F16" s="375">
        <v>1</v>
      </c>
      <c r="G16" s="375"/>
      <c r="H16" s="376"/>
      <c r="I16" s="377"/>
      <c r="J16" s="377"/>
      <c r="K16" s="377"/>
      <c r="L16" s="377"/>
      <c r="M16" s="377"/>
      <c r="N16" s="376"/>
      <c r="R16" s="369"/>
      <c r="S16" s="369"/>
    </row>
    <row r="17" spans="1:19" ht="18" customHeight="1">
      <c r="A17" s="371">
        <v>7</v>
      </c>
      <c r="B17" s="372" t="s">
        <v>370</v>
      </c>
      <c r="C17" s="373" t="s">
        <v>369</v>
      </c>
      <c r="D17" s="374" t="s">
        <v>362</v>
      </c>
      <c r="E17" s="374"/>
      <c r="F17" s="375">
        <v>1</v>
      </c>
      <c r="G17" s="375"/>
      <c r="H17" s="376"/>
      <c r="I17" s="377"/>
      <c r="J17" s="377"/>
      <c r="K17" s="377"/>
      <c r="L17" s="377"/>
      <c r="M17" s="377"/>
      <c r="N17" s="376"/>
      <c r="R17" s="369"/>
      <c r="S17" s="369"/>
    </row>
    <row r="18" spans="1:19" ht="18" customHeight="1">
      <c r="A18" s="371">
        <v>8</v>
      </c>
      <c r="B18" s="372"/>
      <c r="C18" s="373" t="s">
        <v>371</v>
      </c>
      <c r="D18" s="374" t="s">
        <v>372</v>
      </c>
      <c r="E18" s="374"/>
      <c r="F18" s="375">
        <v>4</v>
      </c>
      <c r="G18" s="375"/>
      <c r="H18" s="376"/>
      <c r="I18" s="377"/>
      <c r="J18" s="377"/>
      <c r="K18" s="377"/>
      <c r="L18" s="377"/>
      <c r="M18" s="377"/>
      <c r="N18" s="376"/>
      <c r="R18" s="369"/>
      <c r="S18" s="369"/>
    </row>
    <row r="19" spans="1:19" ht="18" customHeight="1">
      <c r="A19" s="371">
        <v>9</v>
      </c>
      <c r="B19" s="372"/>
      <c r="C19" s="373" t="s">
        <v>373</v>
      </c>
      <c r="D19" s="374" t="s">
        <v>372</v>
      </c>
      <c r="E19" s="374"/>
      <c r="F19" s="375">
        <v>8</v>
      </c>
      <c r="G19" s="375"/>
      <c r="H19" s="376"/>
      <c r="I19" s="377"/>
      <c r="J19" s="377"/>
      <c r="K19" s="377"/>
      <c r="L19" s="377"/>
      <c r="M19" s="377"/>
      <c r="N19" s="376"/>
      <c r="R19" s="369"/>
      <c r="S19" s="369"/>
    </row>
    <row r="20" spans="1:19" ht="18" customHeight="1">
      <c r="A20" s="371">
        <v>10</v>
      </c>
      <c r="B20" s="372"/>
      <c r="C20" s="373" t="s">
        <v>374</v>
      </c>
      <c r="D20" s="374" t="s">
        <v>372</v>
      </c>
      <c r="E20" s="374"/>
      <c r="F20" s="375">
        <v>8</v>
      </c>
      <c r="G20" s="375"/>
      <c r="H20" s="376"/>
      <c r="I20" s="377"/>
      <c r="J20" s="377"/>
      <c r="K20" s="377"/>
      <c r="L20" s="377"/>
      <c r="M20" s="377"/>
      <c r="N20" s="376"/>
      <c r="R20" s="369"/>
      <c r="S20" s="369"/>
    </row>
    <row r="21" spans="1:19" ht="18" customHeight="1">
      <c r="A21" s="371">
        <v>11</v>
      </c>
      <c r="B21" s="372"/>
      <c r="C21" s="373" t="s">
        <v>375</v>
      </c>
      <c r="D21" s="374" t="s">
        <v>372</v>
      </c>
      <c r="E21" s="374"/>
      <c r="F21" s="375">
        <v>20</v>
      </c>
      <c r="G21" s="375"/>
      <c r="H21" s="376"/>
      <c r="I21" s="377"/>
      <c r="J21" s="377"/>
      <c r="K21" s="377"/>
      <c r="L21" s="377"/>
      <c r="M21" s="377"/>
      <c r="N21" s="376"/>
      <c r="R21" s="369"/>
      <c r="S21" s="369"/>
    </row>
    <row r="22" spans="1:19" ht="18" customHeight="1">
      <c r="A22" s="371">
        <v>12</v>
      </c>
      <c r="B22" s="372"/>
      <c r="C22" s="373" t="s">
        <v>376</v>
      </c>
      <c r="D22" s="374" t="s">
        <v>372</v>
      </c>
      <c r="E22" s="374"/>
      <c r="F22" s="375">
        <v>12</v>
      </c>
      <c r="G22" s="375"/>
      <c r="H22" s="376"/>
      <c r="I22" s="377"/>
      <c r="J22" s="377"/>
      <c r="K22" s="377"/>
      <c r="L22" s="377"/>
      <c r="M22" s="377"/>
      <c r="N22" s="376"/>
      <c r="R22" s="369"/>
      <c r="S22" s="369"/>
    </row>
    <row r="23" spans="1:19" ht="18" customHeight="1">
      <c r="A23" s="371">
        <v>13</v>
      </c>
      <c r="B23" s="372"/>
      <c r="C23" s="379" t="s">
        <v>377</v>
      </c>
      <c r="D23" s="374" t="s">
        <v>378</v>
      </c>
      <c r="E23" s="374"/>
      <c r="F23" s="380">
        <v>0.7</v>
      </c>
      <c r="G23" s="380"/>
      <c r="H23" s="376"/>
      <c r="I23" s="377"/>
      <c r="J23" s="377"/>
      <c r="K23" s="377"/>
      <c r="L23" s="377"/>
      <c r="M23" s="377"/>
      <c r="N23" s="376"/>
      <c r="R23" s="369"/>
      <c r="S23" s="369"/>
    </row>
    <row r="24" spans="1:19" ht="18" customHeight="1">
      <c r="A24" s="371">
        <v>14</v>
      </c>
      <c r="B24" s="372"/>
      <c r="C24" s="373" t="s">
        <v>379</v>
      </c>
      <c r="D24" s="374" t="s">
        <v>362</v>
      </c>
      <c r="E24" s="374"/>
      <c r="F24" s="375">
        <v>2</v>
      </c>
      <c r="G24" s="375"/>
      <c r="H24" s="376"/>
      <c r="I24" s="377"/>
      <c r="J24" s="377"/>
      <c r="K24" s="377"/>
      <c r="L24" s="377"/>
      <c r="M24" s="377"/>
      <c r="N24" s="376"/>
      <c r="R24" s="369"/>
      <c r="S24" s="369"/>
    </row>
    <row r="25" spans="1:19" ht="18" customHeight="1">
      <c r="A25" s="371">
        <v>15</v>
      </c>
      <c r="B25" s="372"/>
      <c r="C25" s="373" t="s">
        <v>380</v>
      </c>
      <c r="D25" s="374" t="s">
        <v>362</v>
      </c>
      <c r="E25" s="374"/>
      <c r="F25" s="375">
        <v>2</v>
      </c>
      <c r="G25" s="375"/>
      <c r="H25" s="376"/>
      <c r="I25" s="377"/>
      <c r="J25" s="377"/>
      <c r="K25" s="377"/>
      <c r="L25" s="377"/>
      <c r="M25" s="377"/>
      <c r="N25" s="376"/>
      <c r="R25" s="369"/>
      <c r="S25" s="369"/>
    </row>
    <row r="26" spans="1:19" ht="18" customHeight="1">
      <c r="A26" s="371">
        <v>16</v>
      </c>
      <c r="B26" s="372"/>
      <c r="C26" s="373" t="s">
        <v>381</v>
      </c>
      <c r="D26" s="374" t="s">
        <v>362</v>
      </c>
      <c r="E26" s="374"/>
      <c r="F26" s="375">
        <v>4</v>
      </c>
      <c r="G26" s="375"/>
      <c r="H26" s="376"/>
      <c r="I26" s="377"/>
      <c r="J26" s="377"/>
      <c r="K26" s="377"/>
      <c r="L26" s="377"/>
      <c r="M26" s="377"/>
      <c r="N26" s="376"/>
      <c r="R26" s="369"/>
      <c r="S26" s="369"/>
    </row>
    <row r="27" spans="1:19" ht="18" customHeight="1">
      <c r="A27" s="371">
        <v>17</v>
      </c>
      <c r="B27" s="372"/>
      <c r="C27" s="373" t="s">
        <v>382</v>
      </c>
      <c r="D27" s="374" t="s">
        <v>362</v>
      </c>
      <c r="E27" s="374"/>
      <c r="F27" s="375">
        <v>4</v>
      </c>
      <c r="G27" s="375"/>
      <c r="H27" s="376"/>
      <c r="I27" s="377"/>
      <c r="J27" s="377"/>
      <c r="K27" s="377"/>
      <c r="L27" s="377"/>
      <c r="M27" s="377"/>
      <c r="N27" s="376"/>
      <c r="R27" s="369"/>
      <c r="S27" s="369"/>
    </row>
    <row r="28" spans="1:19" ht="18" customHeight="1">
      <c r="A28" s="371">
        <v>18</v>
      </c>
      <c r="B28" s="372"/>
      <c r="C28" s="373" t="s">
        <v>383</v>
      </c>
      <c r="D28" s="374" t="s">
        <v>362</v>
      </c>
      <c r="E28" s="374"/>
      <c r="F28" s="375">
        <v>12</v>
      </c>
      <c r="G28" s="375"/>
      <c r="H28" s="376"/>
      <c r="I28" s="377"/>
      <c r="J28" s="377"/>
      <c r="K28" s="377"/>
      <c r="L28" s="377"/>
      <c r="M28" s="377"/>
      <c r="N28" s="376"/>
      <c r="R28" s="369"/>
      <c r="S28" s="369"/>
    </row>
    <row r="29" spans="1:19" ht="18" customHeight="1">
      <c r="A29" s="371">
        <v>19</v>
      </c>
      <c r="B29" s="372"/>
      <c r="C29" s="373" t="s">
        <v>384</v>
      </c>
      <c r="D29" s="374" t="s">
        <v>362</v>
      </c>
      <c r="E29" s="374"/>
      <c r="F29" s="375">
        <v>16</v>
      </c>
      <c r="G29" s="375"/>
      <c r="H29" s="376"/>
      <c r="I29" s="377"/>
      <c r="J29" s="377"/>
      <c r="K29" s="377"/>
      <c r="L29" s="377"/>
      <c r="M29" s="377"/>
      <c r="N29" s="376"/>
      <c r="R29" s="369"/>
      <c r="S29" s="369"/>
    </row>
    <row r="30" spans="1:19" ht="18" customHeight="1">
      <c r="A30" s="371">
        <v>20</v>
      </c>
      <c r="B30" s="372"/>
      <c r="C30" s="373" t="s">
        <v>385</v>
      </c>
      <c r="D30" s="374" t="s">
        <v>362</v>
      </c>
      <c r="E30" s="374"/>
      <c r="F30" s="375">
        <v>4</v>
      </c>
      <c r="G30" s="375"/>
      <c r="H30" s="376"/>
      <c r="I30" s="377"/>
      <c r="J30" s="377"/>
      <c r="K30" s="377"/>
      <c r="L30" s="377"/>
      <c r="M30" s="377"/>
      <c r="N30" s="376"/>
      <c r="R30" s="369"/>
      <c r="S30" s="369"/>
    </row>
    <row r="31" spans="1:19" ht="18" customHeight="1">
      <c r="A31" s="371">
        <v>21</v>
      </c>
      <c r="B31" s="372"/>
      <c r="C31" s="373" t="s">
        <v>386</v>
      </c>
      <c r="D31" s="374" t="s">
        <v>362</v>
      </c>
      <c r="E31" s="374"/>
      <c r="F31" s="375">
        <v>2</v>
      </c>
      <c r="G31" s="375"/>
      <c r="H31" s="376"/>
      <c r="I31" s="377"/>
      <c r="J31" s="377"/>
      <c r="K31" s="377"/>
      <c r="L31" s="377"/>
      <c r="M31" s="377"/>
      <c r="N31" s="376"/>
      <c r="R31" s="369"/>
      <c r="S31" s="369"/>
    </row>
    <row r="32" spans="1:19" ht="18" customHeight="1">
      <c r="A32" s="371">
        <v>22</v>
      </c>
      <c r="B32" s="372"/>
      <c r="C32" s="379" t="s">
        <v>387</v>
      </c>
      <c r="D32" s="374" t="s">
        <v>378</v>
      </c>
      <c r="E32" s="374"/>
      <c r="F32" s="380">
        <v>0.5</v>
      </c>
      <c r="G32" s="380"/>
      <c r="H32" s="376"/>
      <c r="I32" s="377"/>
      <c r="J32" s="377"/>
      <c r="K32" s="377"/>
      <c r="L32" s="377"/>
      <c r="M32" s="377"/>
      <c r="N32" s="376"/>
      <c r="R32" s="369"/>
      <c r="S32" s="369"/>
    </row>
    <row r="33" spans="1:19" ht="18" customHeight="1">
      <c r="A33" s="371">
        <v>23</v>
      </c>
      <c r="B33" s="372"/>
      <c r="C33" s="373" t="s">
        <v>388</v>
      </c>
      <c r="D33" s="374" t="s">
        <v>362</v>
      </c>
      <c r="E33" s="374"/>
      <c r="F33" s="375">
        <v>2</v>
      </c>
      <c r="G33" s="375"/>
      <c r="H33" s="376"/>
      <c r="I33" s="377"/>
      <c r="J33" s="377"/>
      <c r="K33" s="377"/>
      <c r="L33" s="377"/>
      <c r="M33" s="377"/>
      <c r="N33" s="376"/>
      <c r="R33" s="369"/>
      <c r="S33" s="369"/>
    </row>
    <row r="34" spans="1:19" ht="18" customHeight="1">
      <c r="A34" s="371">
        <v>24</v>
      </c>
      <c r="B34" s="372"/>
      <c r="C34" s="373" t="s">
        <v>389</v>
      </c>
      <c r="D34" s="374" t="s">
        <v>362</v>
      </c>
      <c r="E34" s="374"/>
      <c r="F34" s="375">
        <v>2</v>
      </c>
      <c r="G34" s="375"/>
      <c r="H34" s="376"/>
      <c r="I34" s="377"/>
      <c r="J34" s="377"/>
      <c r="K34" s="377"/>
      <c r="L34" s="377"/>
      <c r="M34" s="377"/>
      <c r="N34" s="376"/>
      <c r="R34" s="369"/>
      <c r="S34" s="369"/>
    </row>
    <row r="35" spans="1:19" ht="18" customHeight="1">
      <c r="A35" s="371">
        <v>25</v>
      </c>
      <c r="B35" s="372"/>
      <c r="C35" s="379" t="s">
        <v>390</v>
      </c>
      <c r="D35" s="374" t="s">
        <v>378</v>
      </c>
      <c r="E35" s="374"/>
      <c r="F35" s="380">
        <v>0.3</v>
      </c>
      <c r="G35" s="380"/>
      <c r="H35" s="376"/>
      <c r="I35" s="377"/>
      <c r="J35" s="377"/>
      <c r="K35" s="377"/>
      <c r="L35" s="377"/>
      <c r="M35" s="377"/>
      <c r="N35" s="376"/>
      <c r="R35" s="369"/>
      <c r="S35" s="369"/>
    </row>
    <row r="36" spans="1:19" ht="27">
      <c r="A36" s="371">
        <v>26</v>
      </c>
      <c r="B36" s="372"/>
      <c r="C36" s="373" t="s">
        <v>391</v>
      </c>
      <c r="D36" s="374" t="s">
        <v>362</v>
      </c>
      <c r="E36" s="374"/>
      <c r="F36" s="375">
        <v>2</v>
      </c>
      <c r="G36" s="375"/>
      <c r="H36" s="376"/>
      <c r="I36" s="377"/>
      <c r="J36" s="377"/>
      <c r="K36" s="377"/>
      <c r="L36" s="377"/>
      <c r="M36" s="377"/>
      <c r="N36" s="376"/>
      <c r="R36" s="369"/>
      <c r="S36" s="369"/>
    </row>
    <row r="37" spans="1:19" ht="18" customHeight="1">
      <c r="A37" s="371">
        <v>27</v>
      </c>
      <c r="B37" s="372"/>
      <c r="C37" s="373" t="s">
        <v>392</v>
      </c>
      <c r="D37" s="374" t="s">
        <v>362</v>
      </c>
      <c r="E37" s="374"/>
      <c r="F37" s="375">
        <v>1</v>
      </c>
      <c r="G37" s="375"/>
      <c r="H37" s="376"/>
      <c r="I37" s="377"/>
      <c r="J37" s="377"/>
      <c r="K37" s="377"/>
      <c r="L37" s="377"/>
      <c r="M37" s="377"/>
      <c r="N37" s="376"/>
      <c r="R37" s="369"/>
      <c r="S37" s="369"/>
    </row>
    <row r="38" spans="1:19" ht="18" customHeight="1">
      <c r="A38" s="371">
        <v>28</v>
      </c>
      <c r="B38" s="372"/>
      <c r="C38" s="379" t="s">
        <v>393</v>
      </c>
      <c r="D38" s="374" t="s">
        <v>378</v>
      </c>
      <c r="E38" s="374"/>
      <c r="F38" s="380">
        <v>0.3</v>
      </c>
      <c r="G38" s="380"/>
      <c r="H38" s="376"/>
      <c r="I38" s="377"/>
      <c r="J38" s="377"/>
      <c r="K38" s="377"/>
      <c r="L38" s="377"/>
      <c r="M38" s="377"/>
      <c r="N38" s="376"/>
      <c r="R38" s="369"/>
      <c r="S38" s="369"/>
    </row>
    <row r="39" spans="1:19" ht="18" customHeight="1">
      <c r="A39" s="371">
        <v>29</v>
      </c>
      <c r="B39" s="372"/>
      <c r="C39" s="373" t="s">
        <v>394</v>
      </c>
      <c r="D39" s="374" t="s">
        <v>395</v>
      </c>
      <c r="E39" s="374"/>
      <c r="F39" s="375">
        <v>1</v>
      </c>
      <c r="G39" s="375"/>
      <c r="H39" s="376"/>
      <c r="I39" s="377"/>
      <c r="J39" s="377"/>
      <c r="K39" s="377"/>
      <c r="L39" s="377"/>
      <c r="M39" s="377"/>
      <c r="N39" s="376"/>
      <c r="R39" s="369"/>
      <c r="S39" s="369"/>
    </row>
    <row r="40" spans="3:19" ht="15" customHeight="1">
      <c r="C40" s="382" t="s">
        <v>357</v>
      </c>
      <c r="I40" s="383"/>
      <c r="J40" s="383"/>
      <c r="K40" s="383"/>
      <c r="L40" s="383"/>
      <c r="M40" s="383"/>
      <c r="N40" s="409"/>
      <c r="R40" s="369"/>
      <c r="S40" s="369"/>
    </row>
    <row r="41" spans="3:19" ht="18" customHeight="1">
      <c r="C41" s="370" t="s">
        <v>396</v>
      </c>
      <c r="R41" s="369"/>
      <c r="S41" s="369"/>
    </row>
    <row r="42" spans="1:19" ht="65.25" customHeight="1">
      <c r="A42" s="371">
        <v>30</v>
      </c>
      <c r="B42" s="384"/>
      <c r="C42" s="385" t="s">
        <v>397</v>
      </c>
      <c r="D42" s="386" t="s">
        <v>398</v>
      </c>
      <c r="E42" s="386"/>
      <c r="F42" s="387">
        <v>3</v>
      </c>
      <c r="G42" s="387"/>
      <c r="H42" s="388"/>
      <c r="I42" s="389"/>
      <c r="J42" s="377"/>
      <c r="K42" s="377"/>
      <c r="L42" s="377"/>
      <c r="M42" s="377"/>
      <c r="N42" s="376"/>
      <c r="R42" s="369"/>
      <c r="S42" s="369"/>
    </row>
    <row r="43" spans="1:19" ht="18" customHeight="1">
      <c r="A43" s="371">
        <v>31</v>
      </c>
      <c r="B43" s="384"/>
      <c r="C43" s="385" t="s">
        <v>399</v>
      </c>
      <c r="D43" s="386" t="s">
        <v>362</v>
      </c>
      <c r="E43" s="386"/>
      <c r="F43" s="387">
        <f>SUM(F42:F42)</f>
        <v>3</v>
      </c>
      <c r="G43" s="387"/>
      <c r="H43" s="388"/>
      <c r="I43" s="389"/>
      <c r="J43" s="377"/>
      <c r="K43" s="377"/>
      <c r="L43" s="377"/>
      <c r="M43" s="377"/>
      <c r="N43" s="376"/>
      <c r="R43" s="369"/>
      <c r="S43" s="369"/>
    </row>
    <row r="44" spans="1:19" ht="18" customHeight="1">
      <c r="A44" s="371">
        <v>32</v>
      </c>
      <c r="B44" s="384"/>
      <c r="C44" s="385" t="s">
        <v>400</v>
      </c>
      <c r="D44" s="386" t="s">
        <v>401</v>
      </c>
      <c r="E44" s="386"/>
      <c r="F44" s="387">
        <f>F53*2</f>
        <v>64</v>
      </c>
      <c r="G44" s="387"/>
      <c r="H44" s="388"/>
      <c r="I44" s="389"/>
      <c r="J44" s="377"/>
      <c r="K44" s="377"/>
      <c r="L44" s="377"/>
      <c r="M44" s="377"/>
      <c r="N44" s="376"/>
      <c r="R44" s="369"/>
      <c r="S44" s="369"/>
    </row>
    <row r="45" spans="1:19" ht="18" customHeight="1">
      <c r="A45" s="371">
        <v>33</v>
      </c>
      <c r="B45" s="384"/>
      <c r="C45" s="385" t="s">
        <v>402</v>
      </c>
      <c r="D45" s="386" t="s">
        <v>401</v>
      </c>
      <c r="E45" s="386"/>
      <c r="F45" s="387">
        <f>F54*2</f>
        <v>70</v>
      </c>
      <c r="G45" s="387"/>
      <c r="H45" s="388"/>
      <c r="I45" s="389"/>
      <c r="J45" s="377"/>
      <c r="K45" s="377"/>
      <c r="L45" s="377"/>
      <c r="M45" s="377"/>
      <c r="N45" s="376"/>
      <c r="R45" s="369"/>
      <c r="S45" s="369"/>
    </row>
    <row r="46" spans="1:19" ht="18" customHeight="1">
      <c r="A46" s="371">
        <v>34</v>
      </c>
      <c r="B46" s="390" t="s">
        <v>403</v>
      </c>
      <c r="C46" s="385" t="s">
        <v>404</v>
      </c>
      <c r="D46" s="386" t="s">
        <v>405</v>
      </c>
      <c r="E46" s="386"/>
      <c r="F46" s="387">
        <v>420</v>
      </c>
      <c r="G46" s="387"/>
      <c r="H46" s="388"/>
      <c r="I46" s="389"/>
      <c r="J46" s="377"/>
      <c r="K46" s="377"/>
      <c r="L46" s="377"/>
      <c r="M46" s="377"/>
      <c r="N46" s="376"/>
      <c r="R46" s="369"/>
      <c r="S46" s="369"/>
    </row>
    <row r="47" spans="1:19" ht="18" customHeight="1">
      <c r="A47" s="371">
        <v>35</v>
      </c>
      <c r="B47" s="384"/>
      <c r="C47" s="391" t="s">
        <v>406</v>
      </c>
      <c r="D47" s="386" t="s">
        <v>378</v>
      </c>
      <c r="E47" s="386"/>
      <c r="F47" s="392">
        <v>0.5</v>
      </c>
      <c r="G47" s="392"/>
      <c r="H47" s="388"/>
      <c r="I47" s="389"/>
      <c r="J47" s="377"/>
      <c r="K47" s="377"/>
      <c r="L47" s="377"/>
      <c r="M47" s="377"/>
      <c r="N47" s="376"/>
      <c r="R47" s="369"/>
      <c r="S47" s="369"/>
    </row>
    <row r="48" spans="1:19" ht="18" customHeight="1">
      <c r="A48" s="371">
        <v>36</v>
      </c>
      <c r="B48" s="384" t="s">
        <v>407</v>
      </c>
      <c r="C48" s="385" t="s">
        <v>796</v>
      </c>
      <c r="D48" s="386" t="s">
        <v>405</v>
      </c>
      <c r="E48" s="386"/>
      <c r="F48" s="387">
        <v>36</v>
      </c>
      <c r="G48" s="387"/>
      <c r="H48" s="388"/>
      <c r="I48" s="389"/>
      <c r="J48" s="377"/>
      <c r="K48" s="377"/>
      <c r="L48" s="377"/>
      <c r="M48" s="377"/>
      <c r="N48" s="376"/>
      <c r="R48" s="369"/>
      <c r="S48" s="369"/>
    </row>
    <row r="49" spans="1:19" ht="18" customHeight="1">
      <c r="A49" s="371">
        <v>37</v>
      </c>
      <c r="B49" s="384" t="s">
        <v>409</v>
      </c>
      <c r="C49" s="385" t="s">
        <v>797</v>
      </c>
      <c r="D49" s="386" t="s">
        <v>405</v>
      </c>
      <c r="E49" s="386"/>
      <c r="F49" s="387">
        <v>165</v>
      </c>
      <c r="G49" s="387"/>
      <c r="H49" s="388"/>
      <c r="I49" s="389"/>
      <c r="J49" s="377"/>
      <c r="K49" s="377"/>
      <c r="L49" s="377"/>
      <c r="M49" s="377"/>
      <c r="N49" s="376"/>
      <c r="R49" s="369"/>
      <c r="S49" s="369"/>
    </row>
    <row r="50" spans="1:19" ht="18" customHeight="1">
      <c r="A50" s="371">
        <v>38</v>
      </c>
      <c r="B50" s="384"/>
      <c r="C50" s="391" t="s">
        <v>410</v>
      </c>
      <c r="D50" s="386" t="s">
        <v>378</v>
      </c>
      <c r="E50" s="386"/>
      <c r="F50" s="392">
        <v>0.3</v>
      </c>
      <c r="G50" s="392"/>
      <c r="H50" s="388"/>
      <c r="I50" s="389"/>
      <c r="J50" s="377"/>
      <c r="K50" s="377"/>
      <c r="L50" s="377"/>
      <c r="M50" s="377"/>
      <c r="N50" s="376"/>
      <c r="R50" s="369"/>
      <c r="S50" s="369"/>
    </row>
    <row r="51" spans="1:19" ht="18" customHeight="1">
      <c r="A51" s="371">
        <v>39</v>
      </c>
      <c r="B51" s="384"/>
      <c r="C51" s="385" t="s">
        <v>411</v>
      </c>
      <c r="D51" s="386" t="s">
        <v>362</v>
      </c>
      <c r="E51" s="386"/>
      <c r="F51" s="387">
        <v>1</v>
      </c>
      <c r="G51" s="387"/>
      <c r="H51" s="388"/>
      <c r="I51" s="389"/>
      <c r="J51" s="377"/>
      <c r="K51" s="377"/>
      <c r="L51" s="377"/>
      <c r="M51" s="377"/>
      <c r="N51" s="376"/>
      <c r="R51" s="369"/>
      <c r="S51" s="369"/>
    </row>
    <row r="52" spans="1:19" ht="18" customHeight="1">
      <c r="A52" s="371">
        <v>40</v>
      </c>
      <c r="B52" s="384"/>
      <c r="C52" s="385" t="s">
        <v>412</v>
      </c>
      <c r="D52" s="386" t="s">
        <v>362</v>
      </c>
      <c r="E52" s="386"/>
      <c r="F52" s="387">
        <v>2</v>
      </c>
      <c r="G52" s="387"/>
      <c r="H52" s="388"/>
      <c r="I52" s="389"/>
      <c r="J52" s="377"/>
      <c r="K52" s="377"/>
      <c r="L52" s="377"/>
      <c r="M52" s="377"/>
      <c r="N52" s="376"/>
      <c r="R52" s="369"/>
      <c r="S52" s="369"/>
    </row>
    <row r="53" spans="1:19" ht="18" customHeight="1">
      <c r="A53" s="371">
        <v>41</v>
      </c>
      <c r="B53" s="384"/>
      <c r="C53" s="385" t="s">
        <v>413</v>
      </c>
      <c r="D53" s="386" t="s">
        <v>362</v>
      </c>
      <c r="E53" s="386"/>
      <c r="F53" s="387">
        <v>32</v>
      </c>
      <c r="G53" s="387"/>
      <c r="H53" s="388"/>
      <c r="I53" s="389"/>
      <c r="J53" s="377"/>
      <c r="K53" s="377"/>
      <c r="L53" s="377"/>
      <c r="M53" s="377"/>
      <c r="N53" s="376"/>
      <c r="R53" s="369"/>
      <c r="S53" s="369"/>
    </row>
    <row r="54" spans="1:19" ht="18" customHeight="1">
      <c r="A54" s="371">
        <v>42</v>
      </c>
      <c r="B54" s="384"/>
      <c r="C54" s="385" t="s">
        <v>414</v>
      </c>
      <c r="D54" s="386" t="s">
        <v>362</v>
      </c>
      <c r="E54" s="386"/>
      <c r="F54" s="387">
        <v>35</v>
      </c>
      <c r="G54" s="387"/>
      <c r="H54" s="388"/>
      <c r="I54" s="389"/>
      <c r="J54" s="377"/>
      <c r="K54" s="377"/>
      <c r="L54" s="377"/>
      <c r="M54" s="377"/>
      <c r="N54" s="376"/>
      <c r="R54" s="369"/>
      <c r="S54" s="369"/>
    </row>
    <row r="55" spans="2:19" ht="13.5" customHeight="1">
      <c r="B55" s="393"/>
      <c r="C55" s="394" t="s">
        <v>357</v>
      </c>
      <c r="D55" s="395"/>
      <c r="E55" s="395"/>
      <c r="F55" s="396"/>
      <c r="G55" s="396"/>
      <c r="H55" s="397"/>
      <c r="I55" s="398"/>
      <c r="J55" s="383"/>
      <c r="K55" s="383"/>
      <c r="L55" s="383"/>
      <c r="M55" s="383"/>
      <c r="N55" s="409"/>
      <c r="R55" s="369"/>
      <c r="S55" s="369"/>
    </row>
    <row r="56" spans="2:19" ht="18" customHeight="1">
      <c r="B56" s="393"/>
      <c r="C56" s="399" t="s">
        <v>415</v>
      </c>
      <c r="D56" s="395"/>
      <c r="E56" s="395"/>
      <c r="F56" s="396"/>
      <c r="G56" s="396"/>
      <c r="H56" s="397"/>
      <c r="I56" s="400"/>
      <c r="R56" s="369"/>
      <c r="S56" s="369"/>
    </row>
    <row r="57" spans="1:19" ht="18" customHeight="1">
      <c r="A57" s="371">
        <v>43</v>
      </c>
      <c r="B57" s="384"/>
      <c r="C57" s="385" t="s">
        <v>416</v>
      </c>
      <c r="D57" s="386" t="s">
        <v>362</v>
      </c>
      <c r="E57" s="386"/>
      <c r="F57" s="387">
        <v>1</v>
      </c>
      <c r="G57" s="387"/>
      <c r="H57" s="388"/>
      <c r="I57" s="389"/>
      <c r="J57" s="377"/>
      <c r="K57" s="377"/>
      <c r="L57" s="377"/>
      <c r="M57" s="377"/>
      <c r="N57" s="376"/>
      <c r="R57" s="369"/>
      <c r="S57" s="369"/>
    </row>
    <row r="58" spans="1:19" ht="18" customHeight="1">
      <c r="A58" s="371">
        <v>44</v>
      </c>
      <c r="B58" s="384"/>
      <c r="C58" s="385" t="s">
        <v>417</v>
      </c>
      <c r="D58" s="386" t="s">
        <v>362</v>
      </c>
      <c r="E58" s="386"/>
      <c r="F58" s="387">
        <v>1</v>
      </c>
      <c r="G58" s="387"/>
      <c r="H58" s="388"/>
      <c r="I58" s="389"/>
      <c r="J58" s="377"/>
      <c r="K58" s="377"/>
      <c r="L58" s="377"/>
      <c r="M58" s="377"/>
      <c r="N58" s="376"/>
      <c r="R58" s="369"/>
      <c r="S58" s="369"/>
    </row>
    <row r="59" spans="1:19" ht="18" customHeight="1">
      <c r="A59" s="371">
        <v>45</v>
      </c>
      <c r="B59" s="384"/>
      <c r="C59" s="385" t="s">
        <v>418</v>
      </c>
      <c r="D59" s="386" t="s">
        <v>362</v>
      </c>
      <c r="E59" s="386"/>
      <c r="F59" s="387">
        <v>1</v>
      </c>
      <c r="G59" s="387"/>
      <c r="H59" s="388"/>
      <c r="I59" s="389"/>
      <c r="J59" s="377"/>
      <c r="K59" s="377"/>
      <c r="L59" s="377"/>
      <c r="M59" s="377"/>
      <c r="N59" s="376"/>
      <c r="R59" s="369"/>
      <c r="S59" s="369"/>
    </row>
    <row r="60" spans="1:19" ht="18" customHeight="1">
      <c r="A60" s="371">
        <v>46</v>
      </c>
      <c r="B60" s="390" t="s">
        <v>403</v>
      </c>
      <c r="C60" s="385" t="s">
        <v>404</v>
      </c>
      <c r="D60" s="386" t="s">
        <v>405</v>
      </c>
      <c r="E60" s="386"/>
      <c r="F60" s="387">
        <v>8</v>
      </c>
      <c r="G60" s="387"/>
      <c r="H60" s="388"/>
      <c r="I60" s="389"/>
      <c r="J60" s="377"/>
      <c r="K60" s="377"/>
      <c r="L60" s="377"/>
      <c r="M60" s="377"/>
      <c r="N60" s="376"/>
      <c r="R60" s="369"/>
      <c r="S60" s="369"/>
    </row>
    <row r="61" spans="1:19" ht="18" customHeight="1">
      <c r="A61" s="371">
        <v>47</v>
      </c>
      <c r="B61" s="390" t="s">
        <v>403</v>
      </c>
      <c r="C61" s="385" t="s">
        <v>419</v>
      </c>
      <c r="D61" s="386" t="s">
        <v>405</v>
      </c>
      <c r="E61" s="386"/>
      <c r="F61" s="387">
        <v>3</v>
      </c>
      <c r="G61" s="387"/>
      <c r="H61" s="388"/>
      <c r="I61" s="389"/>
      <c r="J61" s="377"/>
      <c r="K61" s="377"/>
      <c r="L61" s="377"/>
      <c r="M61" s="377"/>
      <c r="N61" s="376"/>
      <c r="R61" s="369"/>
      <c r="S61" s="369"/>
    </row>
    <row r="62" spans="1:19" ht="18" customHeight="1">
      <c r="A62" s="371">
        <v>48</v>
      </c>
      <c r="B62" s="384"/>
      <c r="C62" s="391" t="s">
        <v>406</v>
      </c>
      <c r="D62" s="386" t="s">
        <v>378</v>
      </c>
      <c r="E62" s="386"/>
      <c r="F62" s="392">
        <v>0.5</v>
      </c>
      <c r="G62" s="392"/>
      <c r="H62" s="388"/>
      <c r="I62" s="389"/>
      <c r="J62" s="377"/>
      <c r="K62" s="377"/>
      <c r="L62" s="377"/>
      <c r="M62" s="377"/>
      <c r="N62" s="376"/>
      <c r="R62" s="369"/>
      <c r="S62" s="369"/>
    </row>
    <row r="63" spans="1:19" ht="18" customHeight="1">
      <c r="A63" s="371">
        <v>49</v>
      </c>
      <c r="B63" s="384" t="s">
        <v>407</v>
      </c>
      <c r="C63" s="385" t="s">
        <v>408</v>
      </c>
      <c r="D63" s="386" t="s">
        <v>405</v>
      </c>
      <c r="E63" s="386"/>
      <c r="F63" s="387">
        <v>10</v>
      </c>
      <c r="G63" s="387"/>
      <c r="H63" s="388"/>
      <c r="I63" s="389"/>
      <c r="J63" s="377"/>
      <c r="K63" s="377"/>
      <c r="L63" s="377"/>
      <c r="M63" s="377"/>
      <c r="N63" s="376"/>
      <c r="R63" s="369"/>
      <c r="S63" s="369"/>
    </row>
    <row r="64" spans="1:19" ht="18" customHeight="1">
      <c r="A64" s="371">
        <v>50</v>
      </c>
      <c r="B64" s="384"/>
      <c r="C64" s="391" t="s">
        <v>410</v>
      </c>
      <c r="D64" s="386" t="s">
        <v>378</v>
      </c>
      <c r="E64" s="386"/>
      <c r="F64" s="392">
        <v>0.3</v>
      </c>
      <c r="G64" s="392"/>
      <c r="H64" s="388"/>
      <c r="I64" s="389"/>
      <c r="J64" s="377"/>
      <c r="K64" s="377"/>
      <c r="L64" s="377"/>
      <c r="M64" s="377"/>
      <c r="N64" s="376"/>
      <c r="R64" s="369"/>
      <c r="S64" s="369"/>
    </row>
    <row r="65" spans="1:19" ht="18" customHeight="1">
      <c r="A65" s="371">
        <v>51</v>
      </c>
      <c r="B65" s="384"/>
      <c r="C65" s="385" t="s">
        <v>420</v>
      </c>
      <c r="D65" s="386" t="s">
        <v>362</v>
      </c>
      <c r="E65" s="386"/>
      <c r="F65" s="387">
        <v>1</v>
      </c>
      <c r="G65" s="387"/>
      <c r="H65" s="388"/>
      <c r="I65" s="389"/>
      <c r="J65" s="377"/>
      <c r="K65" s="377"/>
      <c r="L65" s="377"/>
      <c r="M65" s="377"/>
      <c r="N65" s="376"/>
      <c r="R65" s="369"/>
      <c r="S65" s="369"/>
    </row>
    <row r="66" spans="2:19" ht="18" customHeight="1">
      <c r="B66" s="393"/>
      <c r="C66" s="394" t="s">
        <v>357</v>
      </c>
      <c r="D66" s="395"/>
      <c r="E66" s="395"/>
      <c r="F66" s="396"/>
      <c r="G66" s="396"/>
      <c r="H66" s="397"/>
      <c r="I66" s="398"/>
      <c r="J66" s="383"/>
      <c r="K66" s="383"/>
      <c r="L66" s="383"/>
      <c r="M66" s="383"/>
      <c r="N66" s="409"/>
      <c r="R66" s="369"/>
      <c r="S66" s="369"/>
    </row>
    <row r="67" spans="2:19" ht="18" customHeight="1">
      <c r="B67" s="393"/>
      <c r="C67" s="399" t="s">
        <v>421</v>
      </c>
      <c r="D67" s="395"/>
      <c r="E67" s="395"/>
      <c r="F67" s="396"/>
      <c r="G67" s="396"/>
      <c r="H67" s="397"/>
      <c r="I67" s="400"/>
      <c r="R67" s="369"/>
      <c r="S67" s="369"/>
    </row>
    <row r="68" spans="1:19" ht="18" customHeight="1">
      <c r="A68" s="371">
        <v>52</v>
      </c>
      <c r="B68" s="384"/>
      <c r="C68" s="385" t="s">
        <v>422</v>
      </c>
      <c r="D68" s="386"/>
      <c r="E68" s="386"/>
      <c r="F68" s="387">
        <v>23</v>
      </c>
      <c r="G68" s="387"/>
      <c r="H68" s="388"/>
      <c r="I68" s="389"/>
      <c r="J68" s="377"/>
      <c r="K68" s="377"/>
      <c r="L68" s="377"/>
      <c r="M68" s="377"/>
      <c r="N68" s="376"/>
      <c r="R68" s="369"/>
      <c r="S68" s="369"/>
    </row>
    <row r="69" spans="1:19" ht="18" customHeight="1">
      <c r="A69" s="371">
        <v>53</v>
      </c>
      <c r="B69" s="384"/>
      <c r="C69" s="385" t="s">
        <v>423</v>
      </c>
      <c r="D69" s="386" t="s">
        <v>401</v>
      </c>
      <c r="E69" s="386"/>
      <c r="F69" s="387">
        <v>46</v>
      </c>
      <c r="G69" s="387"/>
      <c r="H69" s="388"/>
      <c r="I69" s="389"/>
      <c r="J69" s="377"/>
      <c r="K69" s="377"/>
      <c r="L69" s="377"/>
      <c r="M69" s="377"/>
      <c r="N69" s="376"/>
      <c r="R69" s="369"/>
      <c r="S69" s="369"/>
    </row>
    <row r="70" spans="1:19" ht="18" customHeight="1">
      <c r="A70" s="371">
        <v>54</v>
      </c>
      <c r="B70" s="390" t="s">
        <v>403</v>
      </c>
      <c r="C70" s="385" t="s">
        <v>404</v>
      </c>
      <c r="D70" s="386" t="s">
        <v>405</v>
      </c>
      <c r="E70" s="386"/>
      <c r="F70" s="387">
        <v>62</v>
      </c>
      <c r="G70" s="387"/>
      <c r="H70" s="388"/>
      <c r="I70" s="389"/>
      <c r="J70" s="377"/>
      <c r="K70" s="377"/>
      <c r="L70" s="377"/>
      <c r="M70" s="377"/>
      <c r="N70" s="376"/>
      <c r="R70" s="369"/>
      <c r="S70" s="369"/>
    </row>
    <row r="71" spans="1:19" ht="18" customHeight="1">
      <c r="A71" s="371">
        <v>55</v>
      </c>
      <c r="B71" s="384"/>
      <c r="C71" s="391" t="s">
        <v>406</v>
      </c>
      <c r="D71" s="386" t="s">
        <v>378</v>
      </c>
      <c r="E71" s="386"/>
      <c r="F71" s="392">
        <v>0.5</v>
      </c>
      <c r="G71" s="392"/>
      <c r="H71" s="388"/>
      <c r="I71" s="389"/>
      <c r="J71" s="377"/>
      <c r="K71" s="377"/>
      <c r="L71" s="377"/>
      <c r="M71" s="377"/>
      <c r="N71" s="376"/>
      <c r="R71" s="369"/>
      <c r="S71" s="369"/>
    </row>
    <row r="72" spans="3:19" ht="18" customHeight="1">
      <c r="C72" s="382" t="s">
        <v>357</v>
      </c>
      <c r="I72" s="383"/>
      <c r="J72" s="383"/>
      <c r="K72" s="383"/>
      <c r="L72" s="383"/>
      <c r="M72" s="383"/>
      <c r="N72" s="409"/>
      <c r="R72" s="369"/>
      <c r="S72" s="369"/>
    </row>
    <row r="73" spans="3:19" ht="18" customHeight="1">
      <c r="C73" s="370" t="s">
        <v>424</v>
      </c>
      <c r="R73" s="369"/>
      <c r="S73" s="369"/>
    </row>
    <row r="74" spans="1:19" ht="18" customHeight="1">
      <c r="A74" s="371">
        <v>56</v>
      </c>
      <c r="B74" s="372" t="s">
        <v>425</v>
      </c>
      <c r="C74" s="373" t="s">
        <v>426</v>
      </c>
      <c r="D74" s="374" t="s">
        <v>427</v>
      </c>
      <c r="E74" s="374"/>
      <c r="F74" s="375">
        <v>1</v>
      </c>
      <c r="G74" s="375"/>
      <c r="H74" s="376"/>
      <c r="I74" s="377"/>
      <c r="J74" s="377"/>
      <c r="K74" s="377"/>
      <c r="L74" s="377"/>
      <c r="M74" s="377"/>
      <c r="N74" s="376"/>
      <c r="R74" s="369"/>
      <c r="S74" s="369"/>
    </row>
    <row r="75" spans="1:19" ht="18" customHeight="1">
      <c r="A75" s="371">
        <v>57</v>
      </c>
      <c r="B75" s="372" t="s">
        <v>428</v>
      </c>
      <c r="C75" s="373" t="s">
        <v>426</v>
      </c>
      <c r="D75" s="374" t="s">
        <v>427</v>
      </c>
      <c r="E75" s="374"/>
      <c r="F75" s="375">
        <v>1</v>
      </c>
      <c r="G75" s="375"/>
      <c r="H75" s="376"/>
      <c r="I75" s="377"/>
      <c r="J75" s="377"/>
      <c r="K75" s="377"/>
      <c r="L75" s="377"/>
      <c r="M75" s="377"/>
      <c r="N75" s="376"/>
      <c r="R75" s="369"/>
      <c r="S75" s="369"/>
    </row>
    <row r="76" spans="1:19" ht="18" customHeight="1">
      <c r="A76" s="371">
        <v>58</v>
      </c>
      <c r="B76" s="372" t="s">
        <v>429</v>
      </c>
      <c r="C76" s="373" t="s">
        <v>426</v>
      </c>
      <c r="D76" s="374" t="s">
        <v>427</v>
      </c>
      <c r="E76" s="374"/>
      <c r="F76" s="375">
        <v>1</v>
      </c>
      <c r="G76" s="375"/>
      <c r="H76" s="376"/>
      <c r="I76" s="377"/>
      <c r="J76" s="377"/>
      <c r="K76" s="377"/>
      <c r="L76" s="377"/>
      <c r="M76" s="377"/>
      <c r="N76" s="376"/>
      <c r="R76" s="369"/>
      <c r="S76" s="369"/>
    </row>
    <row r="77" spans="1:19" ht="40.5">
      <c r="A77" s="371">
        <v>59</v>
      </c>
      <c r="B77" s="372"/>
      <c r="C77" s="373" t="s">
        <v>430</v>
      </c>
      <c r="D77" s="374" t="s">
        <v>372</v>
      </c>
      <c r="E77" s="374"/>
      <c r="F77" s="375">
        <v>9</v>
      </c>
      <c r="G77" s="375"/>
      <c r="H77" s="376"/>
      <c r="I77" s="377"/>
      <c r="J77" s="377"/>
      <c r="K77" s="377"/>
      <c r="L77" s="377"/>
      <c r="M77" s="377"/>
      <c r="N77" s="376"/>
      <c r="R77" s="369"/>
      <c r="S77" s="369"/>
    </row>
    <row r="78" spans="1:19" ht="18" customHeight="1">
      <c r="A78" s="371">
        <v>60</v>
      </c>
      <c r="B78" s="372"/>
      <c r="C78" s="373" t="s">
        <v>431</v>
      </c>
      <c r="D78" s="374" t="s">
        <v>362</v>
      </c>
      <c r="E78" s="374"/>
      <c r="F78" s="375">
        <v>3</v>
      </c>
      <c r="G78" s="375"/>
      <c r="H78" s="376"/>
      <c r="I78" s="377"/>
      <c r="J78" s="377"/>
      <c r="K78" s="377"/>
      <c r="L78" s="377"/>
      <c r="M78" s="377"/>
      <c r="N78" s="376"/>
      <c r="R78" s="369"/>
      <c r="S78" s="369"/>
    </row>
    <row r="79" spans="3:19" ht="18" customHeight="1">
      <c r="C79" s="382" t="s">
        <v>357</v>
      </c>
      <c r="I79" s="383"/>
      <c r="J79" s="383"/>
      <c r="K79" s="383"/>
      <c r="L79" s="383"/>
      <c r="M79" s="383"/>
      <c r="N79" s="409"/>
      <c r="R79" s="369"/>
      <c r="S79" s="369"/>
    </row>
    <row r="80" spans="3:19" ht="18" customHeight="1">
      <c r="C80" s="370" t="s">
        <v>432</v>
      </c>
      <c r="R80" s="369"/>
      <c r="S80" s="369"/>
    </row>
    <row r="81" spans="1:19" ht="18" customHeight="1">
      <c r="A81" s="371">
        <v>61</v>
      </c>
      <c r="B81" s="372"/>
      <c r="C81" s="373" t="s">
        <v>433</v>
      </c>
      <c r="D81" s="374" t="s">
        <v>372</v>
      </c>
      <c r="E81" s="374"/>
      <c r="F81" s="375">
        <v>24</v>
      </c>
      <c r="G81" s="375"/>
      <c r="H81" s="376"/>
      <c r="I81" s="377"/>
      <c r="J81" s="377"/>
      <c r="K81" s="377"/>
      <c r="L81" s="377"/>
      <c r="M81" s="377"/>
      <c r="N81" s="376"/>
      <c r="R81" s="369"/>
      <c r="S81" s="369"/>
    </row>
    <row r="82" spans="1:19" ht="18" customHeight="1">
      <c r="A82" s="371">
        <v>62</v>
      </c>
      <c r="B82" s="372"/>
      <c r="C82" s="379" t="s">
        <v>377</v>
      </c>
      <c r="D82" s="374" t="s">
        <v>378</v>
      </c>
      <c r="E82" s="374"/>
      <c r="F82" s="380">
        <v>0.7</v>
      </c>
      <c r="G82" s="380"/>
      <c r="H82" s="376"/>
      <c r="I82" s="377"/>
      <c r="J82" s="377"/>
      <c r="K82" s="377"/>
      <c r="L82" s="377"/>
      <c r="M82" s="377"/>
      <c r="N82" s="376"/>
      <c r="R82" s="369"/>
      <c r="S82" s="369"/>
    </row>
    <row r="83" spans="1:19" ht="18" customHeight="1">
      <c r="A83" s="371">
        <v>63</v>
      </c>
      <c r="B83" s="372"/>
      <c r="C83" s="373" t="s">
        <v>434</v>
      </c>
      <c r="D83" s="374" t="s">
        <v>372</v>
      </c>
      <c r="E83" s="374"/>
      <c r="F83" s="375">
        <f>F81</f>
        <v>24</v>
      </c>
      <c r="G83" s="375"/>
      <c r="H83" s="376"/>
      <c r="I83" s="377"/>
      <c r="J83" s="377"/>
      <c r="K83" s="377"/>
      <c r="L83" s="377"/>
      <c r="M83" s="377"/>
      <c r="N83" s="376"/>
      <c r="R83" s="369"/>
      <c r="S83" s="369"/>
    </row>
    <row r="84" spans="1:19" ht="18" customHeight="1">
      <c r="A84" s="371">
        <v>64</v>
      </c>
      <c r="B84" s="372"/>
      <c r="C84" s="379" t="s">
        <v>435</v>
      </c>
      <c r="D84" s="374" t="s">
        <v>378</v>
      </c>
      <c r="E84" s="374"/>
      <c r="F84" s="380">
        <v>0.3</v>
      </c>
      <c r="G84" s="380"/>
      <c r="H84" s="376"/>
      <c r="I84" s="377"/>
      <c r="J84" s="377"/>
      <c r="K84" s="377"/>
      <c r="L84" s="377"/>
      <c r="M84" s="377"/>
      <c r="N84" s="376"/>
      <c r="R84" s="369"/>
      <c r="S84" s="369"/>
    </row>
    <row r="85" spans="3:19" ht="18" customHeight="1">
      <c r="C85" s="382" t="s">
        <v>357</v>
      </c>
      <c r="I85" s="383"/>
      <c r="J85" s="383"/>
      <c r="K85" s="383"/>
      <c r="L85" s="383"/>
      <c r="M85" s="383"/>
      <c r="N85" s="409"/>
      <c r="R85" s="369"/>
      <c r="S85" s="369"/>
    </row>
    <row r="86" spans="3:19" ht="18" customHeight="1">
      <c r="C86" s="370" t="s">
        <v>436</v>
      </c>
      <c r="R86" s="369"/>
      <c r="S86" s="369"/>
    </row>
    <row r="87" spans="1:19" ht="36" customHeight="1">
      <c r="A87" s="371">
        <v>65</v>
      </c>
      <c r="B87" s="372" t="s">
        <v>437</v>
      </c>
      <c r="C87" s="401" t="s">
        <v>438</v>
      </c>
      <c r="D87" s="374" t="s">
        <v>362</v>
      </c>
      <c r="E87" s="374"/>
      <c r="F87" s="375">
        <v>9</v>
      </c>
      <c r="G87" s="375"/>
      <c r="H87" s="376"/>
      <c r="I87" s="377"/>
      <c r="J87" s="377"/>
      <c r="K87" s="377"/>
      <c r="L87" s="377"/>
      <c r="M87" s="377"/>
      <c r="N87" s="376"/>
      <c r="R87" s="369"/>
      <c r="S87" s="369"/>
    </row>
    <row r="88" spans="1:19" ht="36" customHeight="1">
      <c r="A88" s="371">
        <v>66</v>
      </c>
      <c r="B88" s="372" t="s">
        <v>439</v>
      </c>
      <c r="C88" s="401" t="s">
        <v>438</v>
      </c>
      <c r="D88" s="374" t="s">
        <v>362</v>
      </c>
      <c r="E88" s="374"/>
      <c r="F88" s="375">
        <v>5</v>
      </c>
      <c r="G88" s="375"/>
      <c r="H88" s="376"/>
      <c r="I88" s="377"/>
      <c r="J88" s="377"/>
      <c r="K88" s="377"/>
      <c r="L88" s="377"/>
      <c r="M88" s="377"/>
      <c r="N88" s="376"/>
      <c r="R88" s="369"/>
      <c r="S88" s="369"/>
    </row>
    <row r="89" spans="1:19" ht="36" customHeight="1">
      <c r="A89" s="371">
        <v>67</v>
      </c>
      <c r="B89" s="372" t="s">
        <v>440</v>
      </c>
      <c r="C89" s="401" t="s">
        <v>438</v>
      </c>
      <c r="D89" s="374" t="s">
        <v>362</v>
      </c>
      <c r="E89" s="374"/>
      <c r="F89" s="375">
        <v>1</v>
      </c>
      <c r="G89" s="375"/>
      <c r="H89" s="376"/>
      <c r="I89" s="377"/>
      <c r="J89" s="377"/>
      <c r="K89" s="377"/>
      <c r="L89" s="377"/>
      <c r="M89" s="377"/>
      <c r="N89" s="376"/>
      <c r="R89" s="369"/>
      <c r="S89" s="369"/>
    </row>
    <row r="90" spans="1:19" ht="36" customHeight="1">
      <c r="A90" s="371">
        <v>68</v>
      </c>
      <c r="B90" s="372" t="s">
        <v>441</v>
      </c>
      <c r="C90" s="401" t="s">
        <v>438</v>
      </c>
      <c r="D90" s="374" t="s">
        <v>362</v>
      </c>
      <c r="E90" s="374"/>
      <c r="F90" s="375">
        <v>6</v>
      </c>
      <c r="G90" s="375"/>
      <c r="H90" s="376"/>
      <c r="I90" s="377"/>
      <c r="J90" s="377"/>
      <c r="K90" s="377"/>
      <c r="L90" s="377"/>
      <c r="M90" s="377"/>
      <c r="N90" s="376"/>
      <c r="R90" s="369"/>
      <c r="S90" s="369"/>
    </row>
    <row r="91" spans="1:19" ht="36" customHeight="1">
      <c r="A91" s="371">
        <v>69</v>
      </c>
      <c r="B91" s="372" t="s">
        <v>442</v>
      </c>
      <c r="C91" s="401" t="s">
        <v>438</v>
      </c>
      <c r="D91" s="374" t="s">
        <v>362</v>
      </c>
      <c r="E91" s="374"/>
      <c r="F91" s="375">
        <v>3</v>
      </c>
      <c r="G91" s="375"/>
      <c r="H91" s="376"/>
      <c r="I91" s="377"/>
      <c r="J91" s="377"/>
      <c r="K91" s="377"/>
      <c r="L91" s="377"/>
      <c r="M91" s="377"/>
      <c r="N91" s="376"/>
      <c r="R91" s="369"/>
      <c r="S91" s="369"/>
    </row>
    <row r="92" spans="1:19" ht="36" customHeight="1">
      <c r="A92" s="371">
        <v>70</v>
      </c>
      <c r="B92" s="372" t="s">
        <v>443</v>
      </c>
      <c r="C92" s="401" t="s">
        <v>438</v>
      </c>
      <c r="D92" s="374" t="s">
        <v>362</v>
      </c>
      <c r="E92" s="374"/>
      <c r="F92" s="375">
        <v>45</v>
      </c>
      <c r="G92" s="375"/>
      <c r="H92" s="376"/>
      <c r="I92" s="377"/>
      <c r="J92" s="377"/>
      <c r="K92" s="377"/>
      <c r="L92" s="377"/>
      <c r="M92" s="377"/>
      <c r="N92" s="376"/>
      <c r="R92" s="369"/>
      <c r="S92" s="369"/>
    </row>
    <row r="93" spans="1:19" ht="18" customHeight="1">
      <c r="A93" s="371">
        <v>71</v>
      </c>
      <c r="B93" s="372" t="s">
        <v>444</v>
      </c>
      <c r="C93" s="373" t="s">
        <v>445</v>
      </c>
      <c r="D93" s="374" t="s">
        <v>362</v>
      </c>
      <c r="E93" s="374"/>
      <c r="F93" s="375">
        <f>SUM(F87:F92)</f>
        <v>69</v>
      </c>
      <c r="G93" s="375"/>
      <c r="H93" s="376"/>
      <c r="I93" s="377"/>
      <c r="J93" s="377"/>
      <c r="K93" s="377"/>
      <c r="L93" s="377"/>
      <c r="M93" s="377"/>
      <c r="N93" s="376"/>
      <c r="R93" s="369"/>
      <c r="S93" s="369"/>
    </row>
    <row r="94" spans="1:19" ht="18" customHeight="1">
      <c r="A94" s="371">
        <v>72</v>
      </c>
      <c r="B94" s="372" t="s">
        <v>444</v>
      </c>
      <c r="C94" s="373" t="s">
        <v>446</v>
      </c>
      <c r="D94" s="374" t="s">
        <v>362</v>
      </c>
      <c r="E94" s="374"/>
      <c r="F94" s="375">
        <f>F93</f>
        <v>69</v>
      </c>
      <c r="G94" s="375"/>
      <c r="H94" s="376"/>
      <c r="I94" s="377"/>
      <c r="J94" s="377"/>
      <c r="K94" s="377"/>
      <c r="L94" s="377"/>
      <c r="M94" s="377"/>
      <c r="N94" s="376"/>
      <c r="R94" s="369"/>
      <c r="S94" s="369"/>
    </row>
    <row r="95" spans="3:19" ht="18" customHeight="1">
      <c r="C95" s="382" t="s">
        <v>357</v>
      </c>
      <c r="I95" s="383"/>
      <c r="J95" s="383"/>
      <c r="K95" s="383"/>
      <c r="L95" s="383"/>
      <c r="M95" s="383"/>
      <c r="N95" s="409"/>
      <c r="R95" s="369"/>
      <c r="S95" s="369"/>
    </row>
    <row r="96" spans="3:19" ht="18" customHeight="1">
      <c r="C96" s="370" t="s">
        <v>447</v>
      </c>
      <c r="R96" s="369"/>
      <c r="S96" s="369"/>
    </row>
    <row r="97" spans="1:19" ht="18" customHeight="1">
      <c r="A97" s="371">
        <v>73</v>
      </c>
      <c r="B97" s="372"/>
      <c r="C97" s="373" t="s">
        <v>374</v>
      </c>
      <c r="D97" s="374" t="s">
        <v>372</v>
      </c>
      <c r="E97" s="374"/>
      <c r="F97" s="375">
        <v>156</v>
      </c>
      <c r="G97" s="375"/>
      <c r="H97" s="376"/>
      <c r="I97" s="377"/>
      <c r="J97" s="552"/>
      <c r="K97" s="377"/>
      <c r="L97" s="377"/>
      <c r="M97" s="377"/>
      <c r="N97" s="376"/>
      <c r="R97" s="369"/>
      <c r="S97" s="369"/>
    </row>
    <row r="98" spans="1:19" ht="18" customHeight="1">
      <c r="A98" s="371">
        <v>74</v>
      </c>
      <c r="B98" s="372"/>
      <c r="C98" s="373" t="s">
        <v>448</v>
      </c>
      <c r="D98" s="374" t="s">
        <v>372</v>
      </c>
      <c r="E98" s="374"/>
      <c r="F98" s="375">
        <v>88</v>
      </c>
      <c r="G98" s="375"/>
      <c r="H98" s="376"/>
      <c r="I98" s="377"/>
      <c r="J98" s="552"/>
      <c r="K98" s="377"/>
      <c r="L98" s="377"/>
      <c r="M98" s="377"/>
      <c r="N98" s="376"/>
      <c r="R98" s="369"/>
      <c r="S98" s="369"/>
    </row>
    <row r="99" spans="1:19" ht="18" customHeight="1">
      <c r="A99" s="371">
        <v>75</v>
      </c>
      <c r="B99" s="372"/>
      <c r="C99" s="373" t="s">
        <v>375</v>
      </c>
      <c r="D99" s="374" t="s">
        <v>372</v>
      </c>
      <c r="E99" s="374"/>
      <c r="F99" s="375">
        <v>76</v>
      </c>
      <c r="G99" s="375"/>
      <c r="H99" s="376"/>
      <c r="I99" s="377"/>
      <c r="J99" s="552"/>
      <c r="K99" s="377"/>
      <c r="L99" s="377"/>
      <c r="M99" s="377"/>
      <c r="N99" s="376"/>
      <c r="R99" s="369"/>
      <c r="S99" s="369"/>
    </row>
    <row r="100" spans="1:19" ht="18" customHeight="1">
      <c r="A100" s="371">
        <v>76</v>
      </c>
      <c r="B100" s="372"/>
      <c r="C100" s="373" t="s">
        <v>449</v>
      </c>
      <c r="D100" s="374" t="s">
        <v>372</v>
      </c>
      <c r="E100" s="374"/>
      <c r="F100" s="375">
        <v>320</v>
      </c>
      <c r="G100" s="375"/>
      <c r="H100" s="376"/>
      <c r="I100" s="377"/>
      <c r="J100" s="377"/>
      <c r="K100" s="377"/>
      <c r="L100" s="377"/>
      <c r="M100" s="377"/>
      <c r="N100" s="376"/>
      <c r="R100" s="369"/>
      <c r="S100" s="369"/>
    </row>
    <row r="101" spans="1:19" ht="18" customHeight="1">
      <c r="A101" s="371">
        <v>77</v>
      </c>
      <c r="B101" s="372"/>
      <c r="C101" s="379" t="s">
        <v>450</v>
      </c>
      <c r="D101" s="374" t="s">
        <v>378</v>
      </c>
      <c r="E101" s="374"/>
      <c r="F101" s="380">
        <v>0.7</v>
      </c>
      <c r="G101" s="380"/>
      <c r="H101" s="376"/>
      <c r="I101" s="377"/>
      <c r="J101" s="377"/>
      <c r="K101" s="377"/>
      <c r="L101" s="377"/>
      <c r="M101" s="377"/>
      <c r="N101" s="376"/>
      <c r="R101" s="369"/>
      <c r="S101" s="369"/>
    </row>
    <row r="102" spans="1:19" ht="18" customHeight="1">
      <c r="A102" s="371">
        <v>78</v>
      </c>
      <c r="B102" s="372"/>
      <c r="C102" s="373" t="s">
        <v>451</v>
      </c>
      <c r="D102" s="374" t="s">
        <v>372</v>
      </c>
      <c r="E102" s="374"/>
      <c r="F102" s="375">
        <f>F97</f>
        <v>156</v>
      </c>
      <c r="G102" s="375"/>
      <c r="H102" s="376"/>
      <c r="I102" s="377"/>
      <c r="J102" s="377"/>
      <c r="K102" s="377"/>
      <c r="L102" s="377"/>
      <c r="M102" s="377"/>
      <c r="N102" s="376"/>
      <c r="R102" s="369"/>
      <c r="S102" s="369"/>
    </row>
    <row r="103" spans="1:19" ht="18" customHeight="1">
      <c r="A103" s="371">
        <v>79</v>
      </c>
      <c r="B103" s="372"/>
      <c r="C103" s="373" t="s">
        <v>452</v>
      </c>
      <c r="D103" s="374" t="s">
        <v>372</v>
      </c>
      <c r="E103" s="374"/>
      <c r="F103" s="375">
        <f>F98</f>
        <v>88</v>
      </c>
      <c r="G103" s="375"/>
      <c r="H103" s="376"/>
      <c r="I103" s="377"/>
      <c r="J103" s="377"/>
      <c r="K103" s="377"/>
      <c r="L103" s="377"/>
      <c r="M103" s="377"/>
      <c r="N103" s="376"/>
      <c r="R103" s="369"/>
      <c r="S103" s="369"/>
    </row>
    <row r="104" spans="1:19" ht="18" customHeight="1">
      <c r="A104" s="371">
        <v>80</v>
      </c>
      <c r="B104" s="372"/>
      <c r="C104" s="373" t="s">
        <v>453</v>
      </c>
      <c r="D104" s="374" t="s">
        <v>372</v>
      </c>
      <c r="E104" s="374"/>
      <c r="F104" s="375">
        <f>F100</f>
        <v>320</v>
      </c>
      <c r="G104" s="375"/>
      <c r="H104" s="376"/>
      <c r="I104" s="377"/>
      <c r="J104" s="377"/>
      <c r="K104" s="377"/>
      <c r="L104" s="377"/>
      <c r="M104" s="377"/>
      <c r="N104" s="376"/>
      <c r="R104" s="369"/>
      <c r="S104" s="369"/>
    </row>
    <row r="105" spans="1:19" ht="18" customHeight="1">
      <c r="A105" s="371">
        <v>81</v>
      </c>
      <c r="B105" s="372"/>
      <c r="C105" s="379" t="s">
        <v>435</v>
      </c>
      <c r="D105" s="374" t="s">
        <v>378</v>
      </c>
      <c r="E105" s="374"/>
      <c r="F105" s="380">
        <v>0.3</v>
      </c>
      <c r="G105" s="380"/>
      <c r="H105" s="376"/>
      <c r="I105" s="377"/>
      <c r="J105" s="377"/>
      <c r="K105" s="377"/>
      <c r="L105" s="377"/>
      <c r="M105" s="377"/>
      <c r="N105" s="376"/>
      <c r="R105" s="369"/>
      <c r="S105" s="369"/>
    </row>
    <row r="106" spans="1:19" ht="39" customHeight="1">
      <c r="A106" s="371">
        <v>82</v>
      </c>
      <c r="B106" s="372" t="s">
        <v>454</v>
      </c>
      <c r="C106" s="373" t="s">
        <v>455</v>
      </c>
      <c r="D106" s="374" t="s">
        <v>398</v>
      </c>
      <c r="E106" s="374"/>
      <c r="F106" s="375">
        <v>1</v>
      </c>
      <c r="G106" s="375"/>
      <c r="H106" s="376"/>
      <c r="I106" s="377"/>
      <c r="J106" s="377"/>
      <c r="K106" s="377"/>
      <c r="L106" s="377"/>
      <c r="M106" s="377"/>
      <c r="N106" s="376"/>
      <c r="R106" s="369"/>
      <c r="S106" s="369"/>
    </row>
    <row r="107" spans="1:19" ht="39" customHeight="1">
      <c r="A107" s="371">
        <v>83</v>
      </c>
      <c r="B107" s="372" t="s">
        <v>456</v>
      </c>
      <c r="C107" s="373" t="s">
        <v>457</v>
      </c>
      <c r="D107" s="374" t="s">
        <v>398</v>
      </c>
      <c r="E107" s="374"/>
      <c r="F107" s="375">
        <v>4</v>
      </c>
      <c r="G107" s="375"/>
      <c r="H107" s="376"/>
      <c r="I107" s="377"/>
      <c r="J107" s="377"/>
      <c r="K107" s="377"/>
      <c r="L107" s="377"/>
      <c r="M107" s="377"/>
      <c r="N107" s="376"/>
      <c r="R107" s="369"/>
      <c r="S107" s="369"/>
    </row>
    <row r="108" spans="1:19" ht="39" customHeight="1">
      <c r="A108" s="371">
        <v>84</v>
      </c>
      <c r="B108" s="372" t="s">
        <v>458</v>
      </c>
      <c r="C108" s="373" t="s">
        <v>459</v>
      </c>
      <c r="D108" s="374" t="s">
        <v>398</v>
      </c>
      <c r="E108" s="374"/>
      <c r="F108" s="375">
        <v>2</v>
      </c>
      <c r="G108" s="375"/>
      <c r="H108" s="376"/>
      <c r="I108" s="377"/>
      <c r="J108" s="377"/>
      <c r="K108" s="377"/>
      <c r="L108" s="377"/>
      <c r="M108" s="377"/>
      <c r="N108" s="376"/>
      <c r="R108" s="369"/>
      <c r="S108" s="369"/>
    </row>
    <row r="109" spans="1:19" ht="18" customHeight="1">
      <c r="A109" s="371">
        <v>85</v>
      </c>
      <c r="B109" s="372"/>
      <c r="C109" s="379" t="s">
        <v>435</v>
      </c>
      <c r="D109" s="374" t="s">
        <v>378</v>
      </c>
      <c r="E109" s="374"/>
      <c r="F109" s="380">
        <v>0.3</v>
      </c>
      <c r="G109" s="380"/>
      <c r="H109" s="376"/>
      <c r="I109" s="377"/>
      <c r="J109" s="377"/>
      <c r="K109" s="377"/>
      <c r="L109" s="377"/>
      <c r="M109" s="377"/>
      <c r="N109" s="376"/>
      <c r="R109" s="369"/>
      <c r="S109" s="369"/>
    </row>
    <row r="110" spans="1:19" ht="18" customHeight="1">
      <c r="A110" s="371">
        <v>86</v>
      </c>
      <c r="B110" s="372"/>
      <c r="C110" s="373" t="s">
        <v>382</v>
      </c>
      <c r="D110" s="374" t="s">
        <v>362</v>
      </c>
      <c r="E110" s="374"/>
      <c r="F110" s="375">
        <v>14</v>
      </c>
      <c r="G110" s="375"/>
      <c r="H110" s="376"/>
      <c r="I110" s="377"/>
      <c r="J110" s="377"/>
      <c r="K110" s="377"/>
      <c r="L110" s="377"/>
      <c r="M110" s="377"/>
      <c r="N110" s="376"/>
      <c r="R110" s="369"/>
      <c r="S110" s="369"/>
    </row>
    <row r="111" spans="1:19" ht="18" customHeight="1">
      <c r="A111" s="371">
        <v>87</v>
      </c>
      <c r="B111" s="372"/>
      <c r="C111" s="373" t="s">
        <v>460</v>
      </c>
      <c r="D111" s="374" t="s">
        <v>362</v>
      </c>
      <c r="E111" s="374"/>
      <c r="F111" s="375">
        <v>7</v>
      </c>
      <c r="G111" s="375"/>
      <c r="H111" s="376"/>
      <c r="I111" s="377"/>
      <c r="J111" s="377"/>
      <c r="K111" s="377"/>
      <c r="L111" s="377"/>
      <c r="M111" s="377"/>
      <c r="N111" s="376"/>
      <c r="R111" s="369"/>
      <c r="S111" s="369"/>
    </row>
    <row r="112" spans="1:19" ht="18" customHeight="1">
      <c r="A112" s="371">
        <v>88</v>
      </c>
      <c r="B112" s="372"/>
      <c r="C112" s="373" t="s">
        <v>461</v>
      </c>
      <c r="D112" s="374" t="s">
        <v>362</v>
      </c>
      <c r="E112" s="374"/>
      <c r="F112" s="375">
        <v>7</v>
      </c>
      <c r="G112" s="375"/>
      <c r="H112" s="376"/>
      <c r="I112" s="377"/>
      <c r="J112" s="377"/>
      <c r="K112" s="377"/>
      <c r="L112" s="377"/>
      <c r="M112" s="377"/>
      <c r="N112" s="376"/>
      <c r="R112" s="369"/>
      <c r="S112" s="369"/>
    </row>
    <row r="113" spans="1:19" ht="39.75" customHeight="1">
      <c r="A113" s="371">
        <v>89</v>
      </c>
      <c r="B113" s="372" t="s">
        <v>462</v>
      </c>
      <c r="C113" s="373" t="s">
        <v>463</v>
      </c>
      <c r="D113" s="374" t="s">
        <v>401</v>
      </c>
      <c r="E113" s="374"/>
      <c r="F113" s="375">
        <v>2000</v>
      </c>
      <c r="G113" s="375"/>
      <c r="H113" s="376"/>
      <c r="I113" s="377"/>
      <c r="J113" s="377"/>
      <c r="K113" s="377"/>
      <c r="L113" s="377"/>
      <c r="M113" s="377"/>
      <c r="N113" s="376"/>
      <c r="R113" s="369"/>
      <c r="S113" s="369"/>
    </row>
    <row r="114" spans="1:19" ht="18" customHeight="1">
      <c r="A114" s="371">
        <v>90</v>
      </c>
      <c r="B114" s="372"/>
      <c r="C114" s="373" t="s">
        <v>798</v>
      </c>
      <c r="D114" s="374" t="s">
        <v>362</v>
      </c>
      <c r="E114" s="374"/>
      <c r="F114" s="375">
        <v>276</v>
      </c>
      <c r="G114" s="375"/>
      <c r="H114" s="376"/>
      <c r="I114" s="377"/>
      <c r="J114" s="377"/>
      <c r="K114" s="377"/>
      <c r="L114" s="377"/>
      <c r="M114" s="377"/>
      <c r="N114" s="376"/>
      <c r="R114" s="369"/>
      <c r="S114" s="369"/>
    </row>
    <row r="115" spans="3:19" ht="13.5" customHeight="1" thickBot="1">
      <c r="C115" s="382" t="s">
        <v>357</v>
      </c>
      <c r="I115" s="383">
        <f>SUM(I97:I114)</f>
        <v>0</v>
      </c>
      <c r="J115" s="383"/>
      <c r="K115" s="383">
        <f>SUM(K97:K114)</f>
        <v>0</v>
      </c>
      <c r="L115" s="383"/>
      <c r="M115" s="383"/>
      <c r="N115" s="409">
        <f>SUM(N97:N114)</f>
        <v>0</v>
      </c>
      <c r="R115" s="369"/>
      <c r="S115" s="369"/>
    </row>
    <row r="116" spans="1:19" ht="18" customHeight="1">
      <c r="A116" s="197"/>
      <c r="B116" s="198"/>
      <c r="C116" s="160" t="s">
        <v>466</v>
      </c>
      <c r="D116" s="114"/>
      <c r="E116" s="114"/>
      <c r="F116" s="165"/>
      <c r="G116" s="165"/>
      <c r="H116" s="165"/>
      <c r="I116" s="411">
        <f>I40+I55+I66+I72+I79+I85+I95+I115</f>
        <v>0</v>
      </c>
      <c r="J116" s="166"/>
      <c r="K116" s="411">
        <f>K40+K55+K66+K72+K79+K85+K95+K115</f>
        <v>0</v>
      </c>
      <c r="L116" s="166"/>
      <c r="M116" s="411">
        <f>M40+M55+M66+M72+M79+M85+M95+M115</f>
        <v>0</v>
      </c>
      <c r="N116" s="411">
        <f>N40+N55+N66+N72+N79+N85+N95+N115</f>
        <v>0</v>
      </c>
      <c r="R116" s="369"/>
      <c r="S116" s="369"/>
    </row>
    <row r="117" spans="1:19" ht="18" customHeight="1">
      <c r="A117" s="203"/>
      <c r="B117" s="123"/>
      <c r="C117" s="63" t="s">
        <v>133</v>
      </c>
      <c r="D117" s="72">
        <v>0.03</v>
      </c>
      <c r="E117" s="5"/>
      <c r="F117" s="204"/>
      <c r="G117" s="204"/>
      <c r="H117" s="63"/>
      <c r="I117" s="64"/>
      <c r="J117" s="64"/>
      <c r="K117" s="64"/>
      <c r="L117" s="64"/>
      <c r="M117" s="64"/>
      <c r="N117" s="65">
        <f>I116*D117</f>
        <v>0</v>
      </c>
      <c r="R117" s="369"/>
      <c r="S117" s="369"/>
    </row>
    <row r="118" spans="1:19" ht="18" customHeight="1">
      <c r="A118" s="203"/>
      <c r="B118" s="123"/>
      <c r="C118" s="63" t="s">
        <v>68</v>
      </c>
      <c r="D118" s="69"/>
      <c r="E118" s="5"/>
      <c r="F118" s="68"/>
      <c r="G118" s="68"/>
      <c r="H118" s="68"/>
      <c r="I118" s="70"/>
      <c r="J118" s="70"/>
      <c r="K118" s="70"/>
      <c r="L118" s="70"/>
      <c r="M118" s="70"/>
      <c r="N118" s="65">
        <f>SUM(N116:N117)</f>
        <v>0</v>
      </c>
      <c r="R118" s="369"/>
      <c r="S118" s="369"/>
    </row>
    <row r="119" spans="1:19" ht="18" customHeight="1">
      <c r="A119" s="203"/>
      <c r="B119" s="123"/>
      <c r="C119" s="63" t="s">
        <v>123</v>
      </c>
      <c r="D119" s="72">
        <v>0.1</v>
      </c>
      <c r="E119" s="5"/>
      <c r="F119" s="204"/>
      <c r="G119" s="204"/>
      <c r="H119" s="63"/>
      <c r="I119" s="64"/>
      <c r="J119" s="64"/>
      <c r="K119" s="64"/>
      <c r="L119" s="64"/>
      <c r="M119" s="64"/>
      <c r="N119" s="65">
        <f>N118*D119</f>
        <v>0</v>
      </c>
      <c r="R119" s="369"/>
      <c r="S119" s="369"/>
    </row>
    <row r="120" spans="1:19" ht="18" customHeight="1">
      <c r="A120" s="203"/>
      <c r="B120" s="123"/>
      <c r="C120" s="63" t="s">
        <v>68</v>
      </c>
      <c r="D120" s="69"/>
      <c r="E120" s="5"/>
      <c r="F120" s="68"/>
      <c r="G120" s="68"/>
      <c r="H120" s="68"/>
      <c r="I120" s="70"/>
      <c r="J120" s="70"/>
      <c r="K120" s="70"/>
      <c r="L120" s="70"/>
      <c r="M120" s="70"/>
      <c r="N120" s="65">
        <f>SUM(N118:N119)</f>
        <v>0</v>
      </c>
      <c r="R120" s="369"/>
      <c r="S120" s="369"/>
    </row>
    <row r="121" spans="1:19" ht="18" customHeight="1">
      <c r="A121" s="203"/>
      <c r="B121" s="123"/>
      <c r="C121" s="63" t="s">
        <v>124</v>
      </c>
      <c r="D121" s="72">
        <v>0.08</v>
      </c>
      <c r="E121" s="5"/>
      <c r="F121" s="204"/>
      <c r="G121" s="204"/>
      <c r="H121" s="63"/>
      <c r="I121" s="64"/>
      <c r="J121" s="64"/>
      <c r="K121" s="64"/>
      <c r="L121" s="64"/>
      <c r="M121" s="64"/>
      <c r="N121" s="65">
        <f>N120*D121</f>
        <v>0</v>
      </c>
      <c r="R121" s="369"/>
      <c r="S121" s="369"/>
    </row>
    <row r="122" spans="1:19" ht="18" customHeight="1" thickBot="1">
      <c r="A122" s="206"/>
      <c r="B122" s="207"/>
      <c r="C122" s="161" t="s">
        <v>57</v>
      </c>
      <c r="D122" s="115"/>
      <c r="E122" s="116"/>
      <c r="F122" s="208"/>
      <c r="G122" s="208"/>
      <c r="H122" s="161"/>
      <c r="I122" s="167"/>
      <c r="J122" s="167"/>
      <c r="K122" s="167"/>
      <c r="L122" s="167"/>
      <c r="M122" s="167"/>
      <c r="N122" s="168">
        <f>SUM(N120:N121)</f>
        <v>0</v>
      </c>
      <c r="R122" s="369"/>
      <c r="S122" s="369"/>
    </row>
    <row r="123" spans="1:19" ht="18" customHeight="1">
      <c r="A123" s="24"/>
      <c r="B123" s="90"/>
      <c r="C123" s="162"/>
      <c r="D123" s="117"/>
      <c r="E123" s="24"/>
      <c r="F123" s="162"/>
      <c r="G123" s="162"/>
      <c r="H123" s="162"/>
      <c r="I123" s="162"/>
      <c r="J123" s="169"/>
      <c r="K123" s="162"/>
      <c r="L123" s="169"/>
      <c r="M123" s="162"/>
      <c r="N123" s="67"/>
      <c r="R123" s="369"/>
      <c r="S123" s="369"/>
    </row>
    <row r="124" spans="1:19" ht="13.5" customHeight="1">
      <c r="A124" s="24"/>
      <c r="B124" s="90"/>
      <c r="C124" s="82"/>
      <c r="D124" s="117"/>
      <c r="E124" s="24"/>
      <c r="F124" s="162"/>
      <c r="G124" s="162"/>
      <c r="H124" s="162"/>
      <c r="I124" s="162"/>
      <c r="J124" s="169"/>
      <c r="K124" s="162"/>
      <c r="L124" s="169"/>
      <c r="M124" s="162"/>
      <c r="N124" s="67"/>
      <c r="R124" s="369"/>
      <c r="S124" s="369"/>
    </row>
    <row r="125" spans="1:19" ht="13.5" customHeight="1">
      <c r="A125" s="24"/>
      <c r="B125" s="90"/>
      <c r="C125" s="82"/>
      <c r="D125" s="117"/>
      <c r="E125" s="24"/>
      <c r="F125" s="162"/>
      <c r="G125" s="162"/>
      <c r="H125" s="162"/>
      <c r="I125" s="162"/>
      <c r="J125" s="169"/>
      <c r="K125" s="162"/>
      <c r="L125" s="169"/>
      <c r="M125" s="162"/>
      <c r="N125" s="67"/>
      <c r="R125" s="369"/>
      <c r="S125" s="369"/>
    </row>
    <row r="126" spans="1:19" ht="13.5" customHeight="1">
      <c r="A126" s="24"/>
      <c r="B126" s="90"/>
      <c r="C126" s="15"/>
      <c r="D126" s="117"/>
      <c r="E126" s="24"/>
      <c r="F126" s="162"/>
      <c r="G126" s="162"/>
      <c r="H126" s="162"/>
      <c r="I126" s="162"/>
      <c r="J126" s="169"/>
      <c r="K126" s="170"/>
      <c r="L126" s="169"/>
      <c r="M126" s="162"/>
      <c r="N126" s="67"/>
      <c r="R126" s="369"/>
      <c r="S126" s="369"/>
    </row>
    <row r="127" spans="1:19" ht="13.5" customHeight="1">
      <c r="A127" s="118"/>
      <c r="B127" s="212"/>
      <c r="C127" s="163"/>
      <c r="D127" s="118"/>
      <c r="E127" s="119"/>
      <c r="F127" s="163"/>
      <c r="G127" s="163"/>
      <c r="H127" s="678"/>
      <c r="I127" s="678"/>
      <c r="J127" s="678"/>
      <c r="K127" s="163"/>
      <c r="L127" s="163"/>
      <c r="M127" s="163"/>
      <c r="N127" s="27"/>
      <c r="R127" s="369"/>
      <c r="S127" s="369"/>
    </row>
    <row r="128" spans="3:19" ht="13.5" customHeight="1">
      <c r="C128" s="402"/>
      <c r="F128" s="403"/>
      <c r="G128" s="403"/>
      <c r="N128" s="410"/>
      <c r="R128" s="369"/>
      <c r="S128" s="369"/>
    </row>
    <row r="129" spans="3:19" ht="13.5" customHeight="1">
      <c r="C129" s="402"/>
      <c r="F129" s="403"/>
      <c r="G129" s="403"/>
      <c r="N129" s="410"/>
      <c r="R129" s="369"/>
      <c r="S129" s="369"/>
    </row>
    <row r="130" spans="3:19" ht="13.5" customHeight="1">
      <c r="C130" s="402"/>
      <c r="F130" s="403"/>
      <c r="G130" s="403"/>
      <c r="N130" s="410"/>
      <c r="R130" s="369"/>
      <c r="S130" s="369"/>
    </row>
    <row r="131" spans="3:19" ht="13.5" customHeight="1">
      <c r="C131" s="402"/>
      <c r="N131" s="410"/>
      <c r="R131" s="369"/>
      <c r="S131" s="369"/>
    </row>
    <row r="132" spans="3:19" ht="13.5" customHeight="1">
      <c r="C132" s="402"/>
      <c r="N132" s="410"/>
      <c r="R132" s="369"/>
      <c r="S132" s="369"/>
    </row>
    <row r="133" spans="18:19" ht="13.5" customHeight="1">
      <c r="R133" s="369"/>
      <c r="S133" s="369"/>
    </row>
    <row r="134" spans="3:19" ht="13.5" customHeight="1">
      <c r="C134" s="404"/>
      <c r="R134" s="369"/>
      <c r="S134" s="369"/>
    </row>
    <row r="135" spans="3:19" ht="13.5" customHeight="1">
      <c r="C135" s="404"/>
      <c r="R135" s="369"/>
      <c r="S135" s="369"/>
    </row>
    <row r="136" spans="3:19" ht="26.25" customHeight="1">
      <c r="C136" s="690"/>
      <c r="D136" s="690"/>
      <c r="E136" s="690"/>
      <c r="F136" s="690"/>
      <c r="G136" s="690"/>
      <c r="H136" s="690"/>
      <c r="I136" s="690"/>
      <c r="J136" s="690"/>
      <c r="K136" s="690"/>
      <c r="L136" s="405"/>
      <c r="M136" s="405"/>
      <c r="R136" s="369"/>
      <c r="S136" s="369"/>
    </row>
    <row r="137" spans="3:19" ht="13.5" customHeight="1">
      <c r="C137" s="406"/>
      <c r="D137" s="407"/>
      <c r="E137" s="407"/>
      <c r="F137" s="406"/>
      <c r="G137" s="406"/>
      <c r="H137" s="406"/>
      <c r="R137" s="369"/>
      <c r="S137" s="369"/>
    </row>
    <row r="138" spans="3:19" ht="15.75">
      <c r="C138" s="406"/>
      <c r="D138" s="408"/>
      <c r="E138" s="408"/>
      <c r="F138" s="406"/>
      <c r="G138" s="406"/>
      <c r="H138" s="367"/>
      <c r="R138" s="369"/>
      <c r="S138" s="369"/>
    </row>
    <row r="139" spans="3:19" ht="15.75">
      <c r="C139" s="404"/>
      <c r="R139" s="369"/>
      <c r="S139" s="369"/>
    </row>
    <row r="140" spans="3:19" ht="15.75">
      <c r="C140" s="404"/>
      <c r="R140" s="369"/>
      <c r="S140" s="369"/>
    </row>
    <row r="141" spans="3:19" ht="15.75">
      <c r="C141" s="404"/>
      <c r="R141" s="369"/>
      <c r="S141" s="369"/>
    </row>
    <row r="142" ht="15">
      <c r="C142" s="404"/>
    </row>
  </sheetData>
  <sheetProtection/>
  <mergeCells count="15">
    <mergeCell ref="C136:K136"/>
    <mergeCell ref="H7:I7"/>
    <mergeCell ref="J7:K7"/>
    <mergeCell ref="N7:N8"/>
    <mergeCell ref="L7:M7"/>
    <mergeCell ref="H127:J127"/>
    <mergeCell ref="A1:N1"/>
    <mergeCell ref="A3:N3"/>
    <mergeCell ref="A5:N5"/>
    <mergeCell ref="A7:A8"/>
    <mergeCell ref="B7:B8"/>
    <mergeCell ref="C7:C8"/>
    <mergeCell ref="D7:D8"/>
    <mergeCell ref="E7:E8"/>
    <mergeCell ref="F7:F8"/>
  </mergeCells>
  <printOptions/>
  <pageMargins left="0.1968503937007874" right="0" top="0.3937007874015748" bottom="0.3937007874015748" header="0" footer="0"/>
  <pageSetup horizontalDpi="600" verticalDpi="600" orientation="landscape" paperSize="9" scale="82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667"/>
  <sheetViews>
    <sheetView zoomScaleSheetLayoutView="40" zoomScalePageLayoutView="0" workbookViewId="0" topLeftCell="A1">
      <selection activeCell="G9" sqref="G9"/>
    </sheetView>
  </sheetViews>
  <sheetFormatPr defaultColWidth="9.140625" defaultRowHeight="12.75"/>
  <cols>
    <col min="1" max="1" width="3.8515625" style="313" customWidth="1"/>
    <col min="2" max="2" width="10.57421875" style="341" customWidth="1"/>
    <col min="3" max="3" width="54.7109375" style="319" customWidth="1"/>
    <col min="4" max="4" width="7.8515625" style="319" customWidth="1"/>
    <col min="5" max="5" width="8.7109375" style="333" customWidth="1"/>
    <col min="6" max="7" width="9.28125" style="292" customWidth="1"/>
    <col min="8" max="8" width="9.421875" style="318" customWidth="1"/>
    <col min="9" max="9" width="11.57421875" style="318" bestFit="1" customWidth="1"/>
    <col min="10" max="10" width="8.7109375" style="321" customWidth="1"/>
    <col min="11" max="11" width="12.57421875" style="318" customWidth="1"/>
    <col min="12" max="12" width="7.8515625" style="321" customWidth="1"/>
    <col min="13" max="13" width="9.7109375" style="318" customWidth="1"/>
    <col min="14" max="14" width="11.7109375" style="318" bestFit="1" customWidth="1"/>
    <col min="15" max="15" width="19.8515625" style="319" customWidth="1"/>
    <col min="16" max="16" width="12.8515625" style="319" customWidth="1"/>
    <col min="17" max="17" width="31.421875" style="319" customWidth="1"/>
    <col min="18" max="16384" width="9.140625" style="319" customWidth="1"/>
  </cols>
  <sheetData>
    <row r="1" spans="1:14" s="255" customFormat="1" ht="42" customHeight="1">
      <c r="A1" s="686" t="str">
        <f>კრებსიტი!A1</f>
        <v>საბავშვო ბაღის აშენების პროექტი სოფელ იორმუღანლოში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</row>
    <row r="2" spans="1:14" s="255" customFormat="1" ht="9" customHeight="1">
      <c r="A2" s="256"/>
      <c r="B2" s="334"/>
      <c r="C2" s="257"/>
      <c r="D2" s="256"/>
      <c r="E2" s="323"/>
      <c r="F2" s="257"/>
      <c r="G2" s="257"/>
      <c r="H2" s="257"/>
      <c r="I2" s="257"/>
      <c r="J2" s="257"/>
      <c r="K2" s="257"/>
      <c r="L2" s="257"/>
      <c r="M2" s="257"/>
      <c r="N2" s="257"/>
    </row>
    <row r="3" spans="1:14" s="266" customFormat="1" ht="19.5" customHeight="1">
      <c r="A3" s="681" t="s">
        <v>622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</row>
    <row r="4" spans="1:14" s="266" customFormat="1" ht="9" customHeight="1">
      <c r="A4" s="267"/>
      <c r="B4" s="324"/>
      <c r="C4" s="268"/>
      <c r="D4" s="267"/>
      <c r="E4" s="324"/>
      <c r="F4" s="268"/>
      <c r="G4" s="268"/>
      <c r="H4" s="268"/>
      <c r="I4" s="268"/>
      <c r="J4" s="268"/>
      <c r="K4" s="268"/>
      <c r="L4" s="268"/>
      <c r="M4" s="268"/>
      <c r="N4" s="268"/>
    </row>
    <row r="5" spans="1:14" s="269" customFormat="1" ht="18.75" customHeight="1">
      <c r="A5" s="682" t="s">
        <v>506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</row>
    <row r="6" spans="1:14" s="266" customFormat="1" ht="14.25" customHeight="1" thickBot="1">
      <c r="A6" s="270"/>
      <c r="B6" s="325"/>
      <c r="C6" s="271"/>
      <c r="D6" s="270"/>
      <c r="E6" s="325"/>
      <c r="F6" s="272"/>
      <c r="G6" s="272"/>
      <c r="H6" s="272"/>
      <c r="I6" s="272"/>
      <c r="J6" s="273"/>
      <c r="K6" s="272"/>
      <c r="L6" s="273"/>
      <c r="M6" s="272"/>
      <c r="N6" s="272"/>
    </row>
    <row r="7" spans="1:14" s="258" customFormat="1" ht="36" customHeight="1" thickBot="1" thickTop="1">
      <c r="A7" s="687" t="s">
        <v>0</v>
      </c>
      <c r="B7" s="688" t="s">
        <v>49</v>
      </c>
      <c r="C7" s="685" t="s">
        <v>50</v>
      </c>
      <c r="D7" s="687" t="s">
        <v>51</v>
      </c>
      <c r="E7" s="688" t="s">
        <v>52</v>
      </c>
      <c r="F7" s="689" t="s">
        <v>53</v>
      </c>
      <c r="G7" s="635" t="s">
        <v>859</v>
      </c>
      <c r="H7" s="685" t="s">
        <v>54</v>
      </c>
      <c r="I7" s="685"/>
      <c r="J7" s="685" t="s">
        <v>55</v>
      </c>
      <c r="K7" s="685"/>
      <c r="L7" s="685" t="s">
        <v>56</v>
      </c>
      <c r="M7" s="685"/>
      <c r="N7" s="685" t="s">
        <v>57</v>
      </c>
    </row>
    <row r="8" spans="1:15" s="258" customFormat="1" ht="36" customHeight="1" thickBot="1" thickTop="1">
      <c r="A8" s="687"/>
      <c r="B8" s="688"/>
      <c r="C8" s="685"/>
      <c r="D8" s="687"/>
      <c r="E8" s="688"/>
      <c r="F8" s="689"/>
      <c r="G8" s="635" t="s">
        <v>858</v>
      </c>
      <c r="H8" s="274" t="s">
        <v>58</v>
      </c>
      <c r="I8" s="275" t="s">
        <v>59</v>
      </c>
      <c r="J8" s="274" t="s">
        <v>58</v>
      </c>
      <c r="K8" s="275" t="s">
        <v>59</v>
      </c>
      <c r="L8" s="274" t="s">
        <v>58</v>
      </c>
      <c r="M8" s="275" t="s">
        <v>59</v>
      </c>
      <c r="N8" s="685"/>
      <c r="O8" s="259"/>
    </row>
    <row r="9" spans="1:14" s="265" customFormat="1" ht="14.25" customHeight="1" thickBot="1" thickTop="1">
      <c r="A9" s="260">
        <v>1</v>
      </c>
      <c r="B9" s="335">
        <v>2</v>
      </c>
      <c r="C9" s="261">
        <v>3</v>
      </c>
      <c r="D9" s="262">
        <v>4</v>
      </c>
      <c r="E9" s="326">
        <v>5</v>
      </c>
      <c r="F9" s="263">
        <v>6</v>
      </c>
      <c r="G9" s="263"/>
      <c r="H9" s="264">
        <v>7</v>
      </c>
      <c r="I9" s="264">
        <v>8</v>
      </c>
      <c r="J9" s="264">
        <v>9</v>
      </c>
      <c r="K9" s="264">
        <v>10</v>
      </c>
      <c r="L9" s="264">
        <v>11</v>
      </c>
      <c r="M9" s="264">
        <v>12</v>
      </c>
      <c r="N9" s="264">
        <v>13</v>
      </c>
    </row>
    <row r="10" spans="1:16" s="283" customFormat="1" ht="18" customHeight="1" thickTop="1">
      <c r="A10" s="276"/>
      <c r="B10" s="336"/>
      <c r="C10" s="277" t="s">
        <v>507</v>
      </c>
      <c r="D10" s="278"/>
      <c r="E10" s="327"/>
      <c r="F10" s="279"/>
      <c r="G10" s="279"/>
      <c r="H10" s="280"/>
      <c r="I10" s="281"/>
      <c r="J10" s="281"/>
      <c r="K10" s="282"/>
      <c r="L10" s="281"/>
      <c r="M10" s="281"/>
      <c r="N10" s="281"/>
      <c r="P10" s="284"/>
    </row>
    <row r="11" spans="1:17" s="289" customFormat="1" ht="18" customHeight="1">
      <c r="A11" s="285"/>
      <c r="B11" s="442">
        <v>80</v>
      </c>
      <c r="C11" s="441" t="s">
        <v>515</v>
      </c>
      <c r="D11" s="104" t="s">
        <v>105</v>
      </c>
      <c r="E11" s="84"/>
      <c r="F11" s="444"/>
      <c r="G11" s="444"/>
      <c r="H11" s="83"/>
      <c r="I11" s="84"/>
      <c r="J11" s="83"/>
      <c r="K11" s="84"/>
      <c r="L11" s="83"/>
      <c r="M11" s="84"/>
      <c r="N11" s="84"/>
      <c r="O11" s="286"/>
      <c r="P11" s="287"/>
      <c r="Q11" s="288"/>
    </row>
    <row r="12" spans="1:17" s="292" customFormat="1" ht="18" customHeight="1">
      <c r="A12" s="285"/>
      <c r="B12" s="442">
        <v>65</v>
      </c>
      <c r="C12" s="441" t="s">
        <v>516</v>
      </c>
      <c r="D12" s="104" t="s">
        <v>105</v>
      </c>
      <c r="E12" s="84"/>
      <c r="F12" s="444"/>
      <c r="G12" s="444"/>
      <c r="H12" s="227"/>
      <c r="I12" s="84"/>
      <c r="J12" s="83"/>
      <c r="K12" s="84"/>
      <c r="L12" s="83"/>
      <c r="M12" s="84"/>
      <c r="N12" s="84"/>
      <c r="O12" s="290"/>
      <c r="P12" s="291"/>
      <c r="Q12" s="268"/>
    </row>
    <row r="13" spans="1:17" s="292" customFormat="1" ht="18" customHeight="1">
      <c r="A13" s="285"/>
      <c r="B13" s="442">
        <v>50</v>
      </c>
      <c r="C13" s="441" t="s">
        <v>517</v>
      </c>
      <c r="D13" s="104" t="s">
        <v>105</v>
      </c>
      <c r="E13" s="84"/>
      <c r="F13" s="444"/>
      <c r="G13" s="444"/>
      <c r="H13" s="227"/>
      <c r="I13" s="84"/>
      <c r="J13" s="83"/>
      <c r="K13" s="84"/>
      <c r="L13" s="83"/>
      <c r="M13" s="84"/>
      <c r="N13" s="84"/>
      <c r="O13" s="295"/>
      <c r="P13" s="268"/>
      <c r="Q13" s="268"/>
    </row>
    <row r="14" spans="1:17" s="292" customFormat="1" ht="18" customHeight="1">
      <c r="A14" s="285"/>
      <c r="B14" s="442">
        <v>40</v>
      </c>
      <c r="C14" s="441" t="s">
        <v>518</v>
      </c>
      <c r="D14" s="104" t="s">
        <v>105</v>
      </c>
      <c r="E14" s="84"/>
      <c r="F14" s="444"/>
      <c r="G14" s="444"/>
      <c r="H14" s="227"/>
      <c r="I14" s="84"/>
      <c r="J14" s="83"/>
      <c r="K14" s="84"/>
      <c r="L14" s="83"/>
      <c r="M14" s="84"/>
      <c r="N14" s="84"/>
      <c r="O14" s="295"/>
      <c r="P14" s="268"/>
      <c r="Q14" s="268"/>
    </row>
    <row r="15" spans="1:17" s="292" customFormat="1" ht="18" customHeight="1">
      <c r="A15" s="285"/>
      <c r="B15" s="442">
        <v>32</v>
      </c>
      <c r="C15" s="441" t="s">
        <v>519</v>
      </c>
      <c r="D15" s="104" t="s">
        <v>105</v>
      </c>
      <c r="E15" s="84"/>
      <c r="F15" s="444"/>
      <c r="G15" s="444"/>
      <c r="H15" s="227"/>
      <c r="I15" s="84"/>
      <c r="J15" s="83"/>
      <c r="K15" s="84"/>
      <c r="L15" s="83"/>
      <c r="M15" s="84"/>
      <c r="N15" s="84"/>
      <c r="O15" s="296"/>
      <c r="P15" s="291"/>
      <c r="Q15" s="268"/>
    </row>
    <row r="16" spans="1:17" s="289" customFormat="1" ht="18" customHeight="1">
      <c r="A16" s="285"/>
      <c r="B16" s="442">
        <v>25</v>
      </c>
      <c r="C16" s="441" t="s">
        <v>520</v>
      </c>
      <c r="D16" s="104" t="s">
        <v>105</v>
      </c>
      <c r="E16" s="84"/>
      <c r="F16" s="444"/>
      <c r="G16" s="444"/>
      <c r="H16" s="227"/>
      <c r="I16" s="84"/>
      <c r="J16" s="83"/>
      <c r="K16" s="84"/>
      <c r="L16" s="83"/>
      <c r="M16" s="84"/>
      <c r="N16" s="84"/>
      <c r="O16" s="286"/>
      <c r="P16" s="287"/>
      <c r="Q16" s="288"/>
    </row>
    <row r="17" spans="1:17" s="292" customFormat="1" ht="18" customHeight="1">
      <c r="A17" s="285"/>
      <c r="B17" s="442" t="s">
        <v>524</v>
      </c>
      <c r="C17" s="441" t="s">
        <v>509</v>
      </c>
      <c r="D17" s="104" t="s">
        <v>92</v>
      </c>
      <c r="E17" s="84"/>
      <c r="F17" s="444"/>
      <c r="G17" s="444"/>
      <c r="H17" s="227"/>
      <c r="I17" s="84"/>
      <c r="J17" s="83"/>
      <c r="K17" s="84"/>
      <c r="L17" s="83"/>
      <c r="M17" s="84"/>
      <c r="N17" s="84"/>
      <c r="O17" s="296"/>
      <c r="P17" s="291"/>
      <c r="Q17" s="268"/>
    </row>
    <row r="18" spans="1:17" s="292" customFormat="1" ht="18" customHeight="1">
      <c r="A18" s="285"/>
      <c r="B18" s="442">
        <v>80</v>
      </c>
      <c r="C18" s="441" t="s">
        <v>510</v>
      </c>
      <c r="D18" s="104" t="s">
        <v>92</v>
      </c>
      <c r="E18" s="84"/>
      <c r="F18" s="444"/>
      <c r="G18" s="444"/>
      <c r="H18" s="227"/>
      <c r="I18" s="84"/>
      <c r="J18" s="83"/>
      <c r="K18" s="84"/>
      <c r="L18" s="83"/>
      <c r="M18" s="84"/>
      <c r="N18" s="84"/>
      <c r="O18" s="295"/>
      <c r="P18" s="268"/>
      <c r="Q18" s="268"/>
    </row>
    <row r="19" spans="1:17" s="292" customFormat="1" ht="18" customHeight="1">
      <c r="A19" s="285"/>
      <c r="B19" s="442" t="s">
        <v>525</v>
      </c>
      <c r="C19" s="441" t="s">
        <v>510</v>
      </c>
      <c r="D19" s="104" t="s">
        <v>92</v>
      </c>
      <c r="E19" s="84"/>
      <c r="F19" s="444"/>
      <c r="G19" s="444"/>
      <c r="H19" s="227"/>
      <c r="I19" s="84"/>
      <c r="J19" s="83"/>
      <c r="K19" s="84"/>
      <c r="L19" s="83"/>
      <c r="M19" s="84"/>
      <c r="N19" s="84"/>
      <c r="O19" s="295"/>
      <c r="P19" s="268"/>
      <c r="Q19" s="268"/>
    </row>
    <row r="20" spans="1:14" s="292" customFormat="1" ht="18" customHeight="1">
      <c r="A20" s="285"/>
      <c r="B20" s="442" t="s">
        <v>526</v>
      </c>
      <c r="C20" s="441" t="s">
        <v>510</v>
      </c>
      <c r="D20" s="104" t="s">
        <v>92</v>
      </c>
      <c r="E20" s="84"/>
      <c r="F20" s="444"/>
      <c r="G20" s="444"/>
      <c r="H20" s="227"/>
      <c r="I20" s="84"/>
      <c r="J20" s="83"/>
      <c r="K20" s="84"/>
      <c r="L20" s="83"/>
      <c r="M20" s="84"/>
      <c r="N20" s="84"/>
    </row>
    <row r="21" spans="1:17" s="289" customFormat="1" ht="18" customHeight="1">
      <c r="A21" s="297"/>
      <c r="B21" s="442" t="s">
        <v>527</v>
      </c>
      <c r="C21" s="441" t="s">
        <v>510</v>
      </c>
      <c r="D21" s="104" t="s">
        <v>92</v>
      </c>
      <c r="E21" s="84"/>
      <c r="F21" s="444"/>
      <c r="G21" s="444"/>
      <c r="H21" s="227"/>
      <c r="I21" s="84"/>
      <c r="J21" s="83"/>
      <c r="K21" s="84"/>
      <c r="L21" s="83"/>
      <c r="M21" s="84"/>
      <c r="N21" s="84"/>
      <c r="O21" s="286"/>
      <c r="P21" s="287"/>
      <c r="Q21" s="288"/>
    </row>
    <row r="22" spans="1:17" s="292" customFormat="1" ht="18" customHeight="1">
      <c r="A22" s="297"/>
      <c r="B22" s="442" t="s">
        <v>528</v>
      </c>
      <c r="C22" s="441" t="s">
        <v>510</v>
      </c>
      <c r="D22" s="104" t="s">
        <v>92</v>
      </c>
      <c r="E22" s="84"/>
      <c r="F22" s="444"/>
      <c r="G22" s="444"/>
      <c r="H22" s="227"/>
      <c r="I22" s="84"/>
      <c r="J22" s="83"/>
      <c r="K22" s="84"/>
      <c r="L22" s="83"/>
      <c r="M22" s="84"/>
      <c r="N22" s="84"/>
      <c r="O22" s="296"/>
      <c r="P22" s="291"/>
      <c r="Q22" s="268"/>
    </row>
    <row r="23" spans="1:14" s="292" customFormat="1" ht="18" customHeight="1">
      <c r="A23" s="285"/>
      <c r="B23" s="442" t="s">
        <v>524</v>
      </c>
      <c r="C23" s="441" t="s">
        <v>510</v>
      </c>
      <c r="D23" s="104" t="s">
        <v>92</v>
      </c>
      <c r="E23" s="84"/>
      <c r="F23" s="444"/>
      <c r="G23" s="444"/>
      <c r="H23" s="227"/>
      <c r="I23" s="84"/>
      <c r="J23" s="83"/>
      <c r="K23" s="84"/>
      <c r="L23" s="83"/>
      <c r="M23" s="84"/>
      <c r="N23" s="84"/>
    </row>
    <row r="24" spans="1:14" s="292" customFormat="1" ht="18" customHeight="1">
      <c r="A24" s="297"/>
      <c r="B24" s="442" t="s">
        <v>529</v>
      </c>
      <c r="C24" s="441" t="s">
        <v>510</v>
      </c>
      <c r="D24" s="104" t="s">
        <v>92</v>
      </c>
      <c r="E24" s="84"/>
      <c r="F24" s="444"/>
      <c r="G24" s="444"/>
      <c r="H24" s="227"/>
      <c r="I24" s="84"/>
      <c r="J24" s="83"/>
      <c r="K24" s="84"/>
      <c r="L24" s="83"/>
      <c r="M24" s="84"/>
      <c r="N24" s="84"/>
    </row>
    <row r="25" spans="1:14" s="292" customFormat="1" ht="18" customHeight="1">
      <c r="A25" s="297"/>
      <c r="B25" s="442" t="s">
        <v>530</v>
      </c>
      <c r="C25" s="441" t="s">
        <v>511</v>
      </c>
      <c r="D25" s="104" t="s">
        <v>92</v>
      </c>
      <c r="E25" s="84"/>
      <c r="F25" s="444"/>
      <c r="G25" s="444"/>
      <c r="H25" s="227"/>
      <c r="I25" s="84"/>
      <c r="J25" s="83"/>
      <c r="K25" s="84"/>
      <c r="L25" s="83"/>
      <c r="M25" s="84"/>
      <c r="N25" s="84"/>
    </row>
    <row r="26" spans="1:17" s="289" customFormat="1" ht="18" customHeight="1">
      <c r="A26" s="285"/>
      <c r="B26" s="442" t="s">
        <v>526</v>
      </c>
      <c r="C26" s="441" t="s">
        <v>511</v>
      </c>
      <c r="D26" s="104" t="s">
        <v>92</v>
      </c>
      <c r="E26" s="84"/>
      <c r="F26" s="444"/>
      <c r="G26" s="444"/>
      <c r="H26" s="227"/>
      <c r="I26" s="84"/>
      <c r="J26" s="83"/>
      <c r="K26" s="84"/>
      <c r="L26" s="83"/>
      <c r="M26" s="84"/>
      <c r="N26" s="84"/>
      <c r="O26" s="286"/>
      <c r="P26" s="287"/>
      <c r="Q26" s="288"/>
    </row>
    <row r="27" spans="1:17" s="292" customFormat="1" ht="18" customHeight="1">
      <c r="A27" s="285"/>
      <c r="B27" s="442" t="s">
        <v>528</v>
      </c>
      <c r="C27" s="441" t="s">
        <v>511</v>
      </c>
      <c r="D27" s="104" t="s">
        <v>92</v>
      </c>
      <c r="E27" s="84"/>
      <c r="F27" s="444"/>
      <c r="G27" s="444"/>
      <c r="H27" s="227"/>
      <c r="I27" s="84"/>
      <c r="J27" s="83"/>
      <c r="K27" s="84"/>
      <c r="L27" s="83"/>
      <c r="M27" s="84"/>
      <c r="N27" s="84"/>
      <c r="O27" s="295"/>
      <c r="P27" s="268"/>
      <c r="Q27" s="268"/>
    </row>
    <row r="28" spans="1:17" s="292" customFormat="1" ht="18" customHeight="1">
      <c r="A28" s="285"/>
      <c r="B28" s="442" t="s">
        <v>529</v>
      </c>
      <c r="C28" s="441" t="s">
        <v>511</v>
      </c>
      <c r="D28" s="104" t="s">
        <v>92</v>
      </c>
      <c r="E28" s="84"/>
      <c r="F28" s="444"/>
      <c r="G28" s="444"/>
      <c r="H28" s="227"/>
      <c r="I28" s="84"/>
      <c r="J28" s="83"/>
      <c r="K28" s="84"/>
      <c r="L28" s="83"/>
      <c r="M28" s="84"/>
      <c r="N28" s="84"/>
      <c r="O28" s="295"/>
      <c r="P28" s="268"/>
      <c r="Q28" s="268"/>
    </row>
    <row r="29" spans="1:14" s="292" customFormat="1" ht="18" customHeight="1">
      <c r="A29" s="285"/>
      <c r="B29" s="442" t="s">
        <v>531</v>
      </c>
      <c r="C29" s="441" t="s">
        <v>511</v>
      </c>
      <c r="D29" s="104" t="s">
        <v>92</v>
      </c>
      <c r="E29" s="84"/>
      <c r="F29" s="444"/>
      <c r="G29" s="444"/>
      <c r="H29" s="227"/>
      <c r="I29" s="84"/>
      <c r="J29" s="83"/>
      <c r="K29" s="84"/>
      <c r="L29" s="83"/>
      <c r="M29" s="84"/>
      <c r="N29" s="84"/>
    </row>
    <row r="30" spans="1:14" s="292" customFormat="1" ht="18" customHeight="1">
      <c r="A30" s="297"/>
      <c r="B30" s="442">
        <v>80</v>
      </c>
      <c r="C30" s="441" t="s">
        <v>512</v>
      </c>
      <c r="D30" s="104" t="s">
        <v>92</v>
      </c>
      <c r="E30" s="84"/>
      <c r="F30" s="444"/>
      <c r="G30" s="444"/>
      <c r="H30" s="227"/>
      <c r="I30" s="84"/>
      <c r="J30" s="83"/>
      <c r="K30" s="84"/>
      <c r="L30" s="83"/>
      <c r="M30" s="84"/>
      <c r="N30" s="84"/>
    </row>
    <row r="31" spans="1:14" s="292" customFormat="1" ht="18" customHeight="1">
      <c r="A31" s="297"/>
      <c r="B31" s="442">
        <v>50</v>
      </c>
      <c r="C31" s="441" t="s">
        <v>512</v>
      </c>
      <c r="D31" s="104" t="s">
        <v>92</v>
      </c>
      <c r="E31" s="84"/>
      <c r="F31" s="444"/>
      <c r="G31" s="444"/>
      <c r="H31" s="227"/>
      <c r="I31" s="84"/>
      <c r="J31" s="83"/>
      <c r="K31" s="84"/>
      <c r="L31" s="83"/>
      <c r="M31" s="84"/>
      <c r="N31" s="84"/>
    </row>
    <row r="32" spans="1:17" s="292" customFormat="1" ht="18" customHeight="1">
      <c r="A32" s="285"/>
      <c r="B32" s="442">
        <v>40</v>
      </c>
      <c r="C32" s="441" t="s">
        <v>512</v>
      </c>
      <c r="D32" s="104" t="s">
        <v>92</v>
      </c>
      <c r="E32" s="84"/>
      <c r="F32" s="444"/>
      <c r="G32" s="444"/>
      <c r="H32" s="227"/>
      <c r="I32" s="84"/>
      <c r="J32" s="83"/>
      <c r="K32" s="84"/>
      <c r="L32" s="83"/>
      <c r="M32" s="84"/>
      <c r="N32" s="84"/>
      <c r="O32" s="296"/>
      <c r="P32" s="291"/>
      <c r="Q32" s="268"/>
    </row>
    <row r="33" spans="1:17" s="292" customFormat="1" ht="18" customHeight="1">
      <c r="A33" s="297"/>
      <c r="B33" s="442">
        <v>32</v>
      </c>
      <c r="C33" s="441" t="s">
        <v>512</v>
      </c>
      <c r="D33" s="104" t="s">
        <v>92</v>
      </c>
      <c r="E33" s="84"/>
      <c r="F33" s="444"/>
      <c r="G33" s="444"/>
      <c r="H33" s="227"/>
      <c r="I33" s="84"/>
      <c r="J33" s="83"/>
      <c r="K33" s="84"/>
      <c r="L33" s="83"/>
      <c r="M33" s="84"/>
      <c r="N33" s="84"/>
      <c r="O33" s="296"/>
      <c r="P33" s="291"/>
      <c r="Q33" s="268"/>
    </row>
    <row r="34" spans="1:15" s="292" customFormat="1" ht="18" customHeight="1">
      <c r="A34" s="297"/>
      <c r="B34" s="442">
        <v>25</v>
      </c>
      <c r="C34" s="441" t="s">
        <v>512</v>
      </c>
      <c r="D34" s="104" t="s">
        <v>92</v>
      </c>
      <c r="E34" s="84"/>
      <c r="F34" s="444"/>
      <c r="G34" s="444"/>
      <c r="H34" s="227"/>
      <c r="I34" s="84"/>
      <c r="J34" s="83"/>
      <c r="K34" s="84"/>
      <c r="L34" s="83"/>
      <c r="M34" s="84"/>
      <c r="N34" s="84"/>
      <c r="O34" s="289"/>
    </row>
    <row r="35" spans="1:17" s="289" customFormat="1" ht="18" customHeight="1">
      <c r="A35" s="285"/>
      <c r="B35" s="442">
        <v>80</v>
      </c>
      <c r="C35" s="441" t="s">
        <v>513</v>
      </c>
      <c r="D35" s="104" t="s">
        <v>92</v>
      </c>
      <c r="E35" s="84"/>
      <c r="F35" s="444"/>
      <c r="G35" s="444"/>
      <c r="H35" s="227"/>
      <c r="I35" s="84"/>
      <c r="J35" s="83"/>
      <c r="K35" s="84"/>
      <c r="L35" s="83"/>
      <c r="M35" s="84"/>
      <c r="N35" s="84"/>
      <c r="O35" s="286"/>
      <c r="P35" s="287"/>
      <c r="Q35" s="288"/>
    </row>
    <row r="36" spans="1:17" s="292" customFormat="1" ht="18" customHeight="1">
      <c r="A36" s="285"/>
      <c r="B36" s="442">
        <v>65</v>
      </c>
      <c r="C36" s="441" t="s">
        <v>513</v>
      </c>
      <c r="D36" s="104" t="s">
        <v>92</v>
      </c>
      <c r="E36" s="84"/>
      <c r="F36" s="444"/>
      <c r="G36" s="444"/>
      <c r="H36" s="227"/>
      <c r="I36" s="84"/>
      <c r="J36" s="83"/>
      <c r="K36" s="84"/>
      <c r="L36" s="83"/>
      <c r="M36" s="84"/>
      <c r="N36" s="84"/>
      <c r="O36" s="296"/>
      <c r="P36" s="291"/>
      <c r="Q36" s="268"/>
    </row>
    <row r="37" spans="1:17" s="292" customFormat="1" ht="18" customHeight="1">
      <c r="A37" s="285"/>
      <c r="B37" s="442">
        <v>50</v>
      </c>
      <c r="C37" s="441" t="s">
        <v>513</v>
      </c>
      <c r="D37" s="104" t="s">
        <v>92</v>
      </c>
      <c r="E37" s="84"/>
      <c r="F37" s="444"/>
      <c r="G37" s="444"/>
      <c r="H37" s="227"/>
      <c r="I37" s="84"/>
      <c r="J37" s="83"/>
      <c r="K37" s="84"/>
      <c r="L37" s="83"/>
      <c r="M37" s="84"/>
      <c r="N37" s="84"/>
      <c r="O37" s="295"/>
      <c r="P37" s="268"/>
      <c r="Q37" s="268"/>
    </row>
    <row r="38" spans="1:17" s="292" customFormat="1" ht="18" customHeight="1">
      <c r="A38" s="285"/>
      <c r="B38" s="442">
        <v>40</v>
      </c>
      <c r="C38" s="441" t="s">
        <v>513</v>
      </c>
      <c r="D38" s="104" t="s">
        <v>92</v>
      </c>
      <c r="E38" s="84"/>
      <c r="F38" s="444"/>
      <c r="G38" s="444"/>
      <c r="H38" s="227"/>
      <c r="I38" s="84"/>
      <c r="J38" s="83"/>
      <c r="K38" s="84"/>
      <c r="L38" s="83"/>
      <c r="M38" s="84"/>
      <c r="N38" s="84"/>
      <c r="O38" s="295"/>
      <c r="P38" s="268"/>
      <c r="Q38" s="268"/>
    </row>
    <row r="39" spans="1:14" s="292" customFormat="1" ht="18" customHeight="1">
      <c r="A39" s="285"/>
      <c r="B39" s="442">
        <v>32</v>
      </c>
      <c r="C39" s="441" t="s">
        <v>513</v>
      </c>
      <c r="D39" s="104" t="s">
        <v>92</v>
      </c>
      <c r="E39" s="84"/>
      <c r="F39" s="444"/>
      <c r="G39" s="444"/>
      <c r="H39" s="227"/>
      <c r="I39" s="84"/>
      <c r="J39" s="83"/>
      <c r="K39" s="84"/>
      <c r="L39" s="83"/>
      <c r="M39" s="84"/>
      <c r="N39" s="84"/>
    </row>
    <row r="40" spans="1:16" s="283" customFormat="1" ht="18" customHeight="1">
      <c r="A40" s="285"/>
      <c r="B40" s="442">
        <v>25</v>
      </c>
      <c r="C40" s="441" t="s">
        <v>513</v>
      </c>
      <c r="D40" s="104" t="s">
        <v>92</v>
      </c>
      <c r="E40" s="84"/>
      <c r="F40" s="444"/>
      <c r="G40" s="444"/>
      <c r="H40" s="280"/>
      <c r="I40" s="84"/>
      <c r="J40" s="83"/>
      <c r="K40" s="84"/>
      <c r="L40" s="83"/>
      <c r="M40" s="84"/>
      <c r="N40" s="84"/>
      <c r="P40" s="284"/>
    </row>
    <row r="41" spans="1:14" s="292" customFormat="1" ht="36" customHeight="1">
      <c r="A41" s="285"/>
      <c r="B41" s="442">
        <v>12</v>
      </c>
      <c r="C41" s="441" t="s">
        <v>523</v>
      </c>
      <c r="D41" s="104" t="s">
        <v>92</v>
      </c>
      <c r="E41" s="84"/>
      <c r="F41" s="444"/>
      <c r="G41" s="444"/>
      <c r="H41" s="227"/>
      <c r="I41" s="84"/>
      <c r="J41" s="83"/>
      <c r="K41" s="84"/>
      <c r="L41" s="83"/>
      <c r="M41" s="84"/>
      <c r="N41" s="84"/>
    </row>
    <row r="42" spans="1:16" s="283" customFormat="1" ht="18" customHeight="1">
      <c r="A42" s="285"/>
      <c r="B42" s="442"/>
      <c r="C42" s="441" t="s">
        <v>521</v>
      </c>
      <c r="D42" s="104" t="s">
        <v>356</v>
      </c>
      <c r="E42" s="84"/>
      <c r="F42" s="444"/>
      <c r="G42" s="444"/>
      <c r="H42" s="280"/>
      <c r="I42" s="84"/>
      <c r="J42" s="83"/>
      <c r="K42" s="84"/>
      <c r="L42" s="83"/>
      <c r="M42" s="84"/>
      <c r="N42" s="84"/>
      <c r="P42" s="284"/>
    </row>
    <row r="43" spans="1:17" s="292" customFormat="1" ht="36" customHeight="1">
      <c r="A43" s="285"/>
      <c r="B43" s="442">
        <v>50</v>
      </c>
      <c r="C43" s="441" t="s">
        <v>760</v>
      </c>
      <c r="D43" s="104" t="s">
        <v>92</v>
      </c>
      <c r="E43" s="84"/>
      <c r="F43" s="444"/>
      <c r="G43" s="444"/>
      <c r="H43" s="227"/>
      <c r="I43" s="84"/>
      <c r="J43" s="83"/>
      <c r="K43" s="84"/>
      <c r="L43" s="83"/>
      <c r="M43" s="84"/>
      <c r="N43" s="84"/>
      <c r="O43" s="296"/>
      <c r="P43" s="291"/>
      <c r="Q43" s="268"/>
    </row>
    <row r="44" spans="1:15" s="292" customFormat="1" ht="18" customHeight="1">
      <c r="A44" s="285"/>
      <c r="B44" s="442"/>
      <c r="C44" s="441" t="s">
        <v>514</v>
      </c>
      <c r="D44" s="104" t="s">
        <v>86</v>
      </c>
      <c r="E44" s="84"/>
      <c r="F44" s="444"/>
      <c r="G44" s="444"/>
      <c r="H44" s="227"/>
      <c r="I44" s="84"/>
      <c r="J44" s="83"/>
      <c r="K44" s="84"/>
      <c r="L44" s="83"/>
      <c r="M44" s="84"/>
      <c r="N44" s="84"/>
      <c r="O44" s="289"/>
    </row>
    <row r="45" spans="1:16" s="283" customFormat="1" ht="18" customHeight="1">
      <c r="A45" s="276"/>
      <c r="B45" s="336"/>
      <c r="C45" s="277" t="s">
        <v>522</v>
      </c>
      <c r="D45" s="278"/>
      <c r="E45" s="327"/>
      <c r="F45" s="279"/>
      <c r="G45" s="279"/>
      <c r="H45" s="280"/>
      <c r="I45" s="281"/>
      <c r="J45" s="281"/>
      <c r="K45" s="282"/>
      <c r="L45" s="281"/>
      <c r="M45" s="281"/>
      <c r="N45" s="281"/>
      <c r="P45" s="284"/>
    </row>
    <row r="46" spans="1:17" s="292" customFormat="1" ht="36" customHeight="1">
      <c r="A46" s="297"/>
      <c r="B46" s="442"/>
      <c r="C46" s="441" t="s">
        <v>761</v>
      </c>
      <c r="D46" s="443" t="s">
        <v>535</v>
      </c>
      <c r="E46" s="301"/>
      <c r="F46" s="444"/>
      <c r="G46" s="444"/>
      <c r="H46" s="227"/>
      <c r="I46" s="84"/>
      <c r="J46" s="83"/>
      <c r="K46" s="84"/>
      <c r="L46" s="83"/>
      <c r="M46" s="84"/>
      <c r="N46" s="84"/>
      <c r="O46" s="296"/>
      <c r="P46" s="291"/>
      <c r="Q46" s="268"/>
    </row>
    <row r="47" spans="1:14" s="292" customFormat="1" ht="18" customHeight="1">
      <c r="A47" s="285"/>
      <c r="B47" s="442"/>
      <c r="C47" s="441" t="s">
        <v>762</v>
      </c>
      <c r="D47" s="104" t="s">
        <v>105</v>
      </c>
      <c r="E47" s="329"/>
      <c r="F47" s="444"/>
      <c r="G47" s="444"/>
      <c r="H47" s="227"/>
      <c r="I47" s="84"/>
      <c r="J47" s="83"/>
      <c r="K47" s="84"/>
      <c r="L47" s="83"/>
      <c r="M47" s="84"/>
      <c r="N47" s="84"/>
    </row>
    <row r="48" spans="1:14" s="292" customFormat="1" ht="18" customHeight="1">
      <c r="A48" s="297"/>
      <c r="B48" s="442"/>
      <c r="C48" s="441" t="s">
        <v>763</v>
      </c>
      <c r="D48" s="104" t="s">
        <v>105</v>
      </c>
      <c r="E48" s="330"/>
      <c r="F48" s="444"/>
      <c r="G48" s="444"/>
      <c r="H48" s="83"/>
      <c r="I48" s="84"/>
      <c r="J48" s="83"/>
      <c r="K48" s="84"/>
      <c r="L48" s="83"/>
      <c r="M48" s="84"/>
      <c r="N48" s="84"/>
    </row>
    <row r="49" spans="1:14" s="292" customFormat="1" ht="18" customHeight="1">
      <c r="A49" s="297"/>
      <c r="B49" s="442"/>
      <c r="C49" s="441" t="s">
        <v>764</v>
      </c>
      <c r="D49" s="104" t="s">
        <v>105</v>
      </c>
      <c r="E49" s="301"/>
      <c r="F49" s="444"/>
      <c r="G49" s="444"/>
      <c r="H49" s="294"/>
      <c r="I49" s="84"/>
      <c r="J49" s="83"/>
      <c r="K49" s="84"/>
      <c r="L49" s="83"/>
      <c r="M49" s="84"/>
      <c r="N49" s="84"/>
    </row>
    <row r="50" spans="1:17" s="292" customFormat="1" ht="18" customHeight="1">
      <c r="A50" s="297"/>
      <c r="B50" s="442"/>
      <c r="C50" s="441" t="s">
        <v>765</v>
      </c>
      <c r="D50" s="104" t="s">
        <v>105</v>
      </c>
      <c r="E50" s="328"/>
      <c r="F50" s="444"/>
      <c r="G50" s="444"/>
      <c r="H50" s="227"/>
      <c r="I50" s="84"/>
      <c r="J50" s="83"/>
      <c r="K50" s="84"/>
      <c r="L50" s="83"/>
      <c r="M50" s="84"/>
      <c r="N50" s="84"/>
      <c r="O50" s="296"/>
      <c r="P50" s="291"/>
      <c r="Q50" s="268"/>
    </row>
    <row r="51" spans="1:15" s="292" customFormat="1" ht="18" customHeight="1">
      <c r="A51" s="297"/>
      <c r="B51" s="442"/>
      <c r="C51" s="441" t="s">
        <v>766</v>
      </c>
      <c r="D51" s="104" t="s">
        <v>92</v>
      </c>
      <c r="E51" s="301"/>
      <c r="F51" s="444"/>
      <c r="G51" s="444"/>
      <c r="H51" s="226"/>
      <c r="I51" s="84"/>
      <c r="J51" s="83"/>
      <c r="K51" s="84"/>
      <c r="L51" s="83"/>
      <c r="M51" s="84"/>
      <c r="N51" s="84"/>
      <c r="O51" s="289"/>
    </row>
    <row r="52" spans="1:17" s="289" customFormat="1" ht="18" customHeight="1">
      <c r="A52" s="285"/>
      <c r="B52" s="442"/>
      <c r="C52" s="441" t="s">
        <v>767</v>
      </c>
      <c r="D52" s="104" t="s">
        <v>92</v>
      </c>
      <c r="E52" s="329"/>
      <c r="F52" s="444"/>
      <c r="G52" s="444"/>
      <c r="H52" s="227"/>
      <c r="I52" s="84"/>
      <c r="J52" s="83"/>
      <c r="K52" s="84"/>
      <c r="L52" s="83"/>
      <c r="M52" s="84"/>
      <c r="N52" s="84"/>
      <c r="O52" s="286"/>
      <c r="P52" s="287"/>
      <c r="Q52" s="288"/>
    </row>
    <row r="53" spans="1:17" s="289" customFormat="1" ht="18" customHeight="1">
      <c r="A53" s="344"/>
      <c r="B53" s="442"/>
      <c r="C53" s="441" t="s">
        <v>768</v>
      </c>
      <c r="D53" s="104" t="s">
        <v>92</v>
      </c>
      <c r="E53" s="348"/>
      <c r="F53" s="444"/>
      <c r="G53" s="444"/>
      <c r="H53" s="227"/>
      <c r="I53" s="84"/>
      <c r="J53" s="83"/>
      <c r="K53" s="84"/>
      <c r="L53" s="83"/>
      <c r="M53" s="84"/>
      <c r="N53" s="84"/>
      <c r="O53" s="286"/>
      <c r="P53" s="287"/>
      <c r="Q53" s="288"/>
    </row>
    <row r="54" spans="1:14" s="292" customFormat="1" ht="18" customHeight="1">
      <c r="A54" s="297"/>
      <c r="B54" s="442"/>
      <c r="C54" s="441" t="s">
        <v>769</v>
      </c>
      <c r="D54" s="104" t="s">
        <v>92</v>
      </c>
      <c r="E54" s="301"/>
      <c r="F54" s="444"/>
      <c r="G54" s="444"/>
      <c r="H54" s="227"/>
      <c r="I54" s="84"/>
      <c r="J54" s="83"/>
      <c r="K54" s="84"/>
      <c r="L54" s="83"/>
      <c r="M54" s="84"/>
      <c r="N54" s="84"/>
    </row>
    <row r="55" spans="1:14" s="292" customFormat="1" ht="18" customHeight="1">
      <c r="A55" s="297"/>
      <c r="B55" s="442"/>
      <c r="C55" s="441" t="s">
        <v>770</v>
      </c>
      <c r="D55" s="104" t="s">
        <v>92</v>
      </c>
      <c r="E55" s="328"/>
      <c r="F55" s="444"/>
      <c r="G55" s="444"/>
      <c r="H55" s="227"/>
      <c r="I55" s="84"/>
      <c r="J55" s="83"/>
      <c r="K55" s="84"/>
      <c r="L55" s="83"/>
      <c r="M55" s="84"/>
      <c r="N55" s="84"/>
    </row>
    <row r="56" spans="1:17" s="292" customFormat="1" ht="18" customHeight="1">
      <c r="A56" s="297"/>
      <c r="B56" s="442"/>
      <c r="C56" s="441" t="s">
        <v>771</v>
      </c>
      <c r="D56" s="104" t="s">
        <v>92</v>
      </c>
      <c r="E56" s="299"/>
      <c r="F56" s="444"/>
      <c r="G56" s="444"/>
      <c r="H56" s="227"/>
      <c r="I56" s="84"/>
      <c r="J56" s="83"/>
      <c r="K56" s="84"/>
      <c r="L56" s="83"/>
      <c r="M56" s="84"/>
      <c r="N56" s="84"/>
      <c r="O56" s="296"/>
      <c r="P56" s="291"/>
      <c r="Q56" s="268"/>
    </row>
    <row r="57" spans="1:15" s="292" customFormat="1" ht="18" customHeight="1">
      <c r="A57" s="285"/>
      <c r="B57" s="442"/>
      <c r="C57" s="441" t="s">
        <v>772</v>
      </c>
      <c r="D57" s="104" t="s">
        <v>92</v>
      </c>
      <c r="E57" s="329"/>
      <c r="F57" s="444"/>
      <c r="G57" s="444"/>
      <c r="H57" s="227"/>
      <c r="I57" s="84"/>
      <c r="J57" s="83"/>
      <c r="K57" s="84"/>
      <c r="L57" s="83"/>
      <c r="M57" s="84"/>
      <c r="N57" s="84"/>
      <c r="O57" s="289"/>
    </row>
    <row r="58" spans="1:17" s="289" customFormat="1" ht="54" customHeight="1">
      <c r="A58" s="297"/>
      <c r="B58" s="442"/>
      <c r="C58" s="441" t="s">
        <v>795</v>
      </c>
      <c r="D58" s="443" t="s">
        <v>535</v>
      </c>
      <c r="E58" s="330"/>
      <c r="F58" s="444"/>
      <c r="G58" s="444"/>
      <c r="H58" s="227"/>
      <c r="I58" s="84"/>
      <c r="J58" s="83"/>
      <c r="K58" s="84"/>
      <c r="L58" s="83"/>
      <c r="M58" s="84"/>
      <c r="N58" s="84"/>
      <c r="O58" s="286"/>
      <c r="P58" s="287"/>
      <c r="Q58" s="288"/>
    </row>
    <row r="59" spans="1:17" s="292" customFormat="1" ht="18" customHeight="1">
      <c r="A59" s="297"/>
      <c r="B59" s="442"/>
      <c r="C59" s="441" t="s">
        <v>773</v>
      </c>
      <c r="D59" s="104" t="s">
        <v>92</v>
      </c>
      <c r="E59" s="330"/>
      <c r="F59" s="444"/>
      <c r="G59" s="444"/>
      <c r="H59" s="227"/>
      <c r="I59" s="84"/>
      <c r="J59" s="83"/>
      <c r="K59" s="84"/>
      <c r="L59" s="83"/>
      <c r="M59" s="84"/>
      <c r="N59" s="84"/>
      <c r="O59" s="296"/>
      <c r="P59" s="291"/>
      <c r="Q59" s="268"/>
    </row>
    <row r="60" spans="1:14" s="292" customFormat="1" ht="18" customHeight="1">
      <c r="A60" s="297"/>
      <c r="B60" s="442"/>
      <c r="C60" s="441" t="s">
        <v>774</v>
      </c>
      <c r="D60" s="104" t="s">
        <v>92</v>
      </c>
      <c r="E60" s="328"/>
      <c r="F60" s="444"/>
      <c r="G60" s="444"/>
      <c r="H60" s="227"/>
      <c r="I60" s="84"/>
      <c r="J60" s="83"/>
      <c r="K60" s="84"/>
      <c r="L60" s="83"/>
      <c r="M60" s="84"/>
      <c r="N60" s="84"/>
    </row>
    <row r="61" spans="1:17" s="292" customFormat="1" ht="39" customHeight="1">
      <c r="A61" s="297"/>
      <c r="B61" s="446"/>
      <c r="C61" s="456" t="s">
        <v>775</v>
      </c>
      <c r="D61" s="104" t="s">
        <v>92</v>
      </c>
      <c r="E61" s="301"/>
      <c r="F61" s="444"/>
      <c r="G61" s="444"/>
      <c r="H61" s="227"/>
      <c r="I61" s="84"/>
      <c r="J61" s="83"/>
      <c r="K61" s="84"/>
      <c r="L61" s="83"/>
      <c r="M61" s="84"/>
      <c r="N61" s="84"/>
      <c r="O61" s="296"/>
      <c r="P61" s="291"/>
      <c r="Q61" s="268"/>
    </row>
    <row r="62" spans="1:15" s="292" customFormat="1" ht="18" customHeight="1">
      <c r="A62" s="285"/>
      <c r="B62" s="446"/>
      <c r="C62" s="456" t="s">
        <v>776</v>
      </c>
      <c r="D62" s="446" t="s">
        <v>535</v>
      </c>
      <c r="E62" s="329"/>
      <c r="F62" s="444"/>
      <c r="G62" s="444"/>
      <c r="H62" s="227"/>
      <c r="I62" s="84"/>
      <c r="J62" s="83"/>
      <c r="K62" s="84"/>
      <c r="L62" s="83"/>
      <c r="M62" s="84"/>
      <c r="N62" s="84"/>
      <c r="O62" s="289"/>
    </row>
    <row r="63" spans="1:17" s="289" customFormat="1" ht="39" customHeight="1">
      <c r="A63" s="297"/>
      <c r="B63" s="446"/>
      <c r="C63" s="456" t="s">
        <v>786</v>
      </c>
      <c r="D63" s="104" t="s">
        <v>92</v>
      </c>
      <c r="E63" s="330"/>
      <c r="F63" s="444"/>
      <c r="G63" s="444"/>
      <c r="H63" s="227"/>
      <c r="I63" s="84"/>
      <c r="J63" s="83"/>
      <c r="K63" s="84"/>
      <c r="L63" s="83"/>
      <c r="M63" s="84"/>
      <c r="N63" s="84"/>
      <c r="O63" s="286"/>
      <c r="P63" s="287"/>
      <c r="Q63" s="288"/>
    </row>
    <row r="64" spans="1:17" s="292" customFormat="1" ht="18" customHeight="1">
      <c r="A64" s="297"/>
      <c r="B64" s="446"/>
      <c r="C64" s="456" t="s">
        <v>533</v>
      </c>
      <c r="D64" s="446" t="s">
        <v>532</v>
      </c>
      <c r="E64" s="301"/>
      <c r="F64" s="444"/>
      <c r="G64" s="444"/>
      <c r="H64" s="227"/>
      <c r="I64" s="84"/>
      <c r="J64" s="83"/>
      <c r="K64" s="84"/>
      <c r="L64" s="83"/>
      <c r="M64" s="84"/>
      <c r="N64" s="84"/>
      <c r="O64" s="296"/>
      <c r="P64" s="291"/>
      <c r="Q64" s="268"/>
    </row>
    <row r="65" spans="1:14" s="292" customFormat="1" ht="18" customHeight="1">
      <c r="A65" s="297"/>
      <c r="B65" s="442"/>
      <c r="C65" s="441" t="s">
        <v>777</v>
      </c>
      <c r="D65" s="104" t="s">
        <v>92</v>
      </c>
      <c r="E65" s="328"/>
      <c r="F65" s="444"/>
      <c r="G65" s="444"/>
      <c r="H65" s="294"/>
      <c r="I65" s="84"/>
      <c r="J65" s="83"/>
      <c r="K65" s="84"/>
      <c r="L65" s="83"/>
      <c r="M65" s="84"/>
      <c r="N65" s="84"/>
    </row>
    <row r="66" spans="1:17" s="292" customFormat="1" ht="54" customHeight="1">
      <c r="A66" s="297"/>
      <c r="B66" s="442"/>
      <c r="C66" s="441" t="s">
        <v>778</v>
      </c>
      <c r="D66" s="104" t="s">
        <v>92</v>
      </c>
      <c r="E66" s="301"/>
      <c r="F66" s="444"/>
      <c r="G66" s="444"/>
      <c r="H66" s="227"/>
      <c r="I66" s="84"/>
      <c r="J66" s="83"/>
      <c r="K66" s="84"/>
      <c r="L66" s="83"/>
      <c r="M66" s="84"/>
      <c r="N66" s="84"/>
      <c r="O66" s="296"/>
      <c r="P66" s="291"/>
      <c r="Q66" s="268"/>
    </row>
    <row r="67" spans="1:15" s="292" customFormat="1" ht="18" customHeight="1">
      <c r="A67" s="285"/>
      <c r="B67" s="442">
        <v>80</v>
      </c>
      <c r="C67" s="441" t="s">
        <v>534</v>
      </c>
      <c r="D67" s="104" t="s">
        <v>92</v>
      </c>
      <c r="E67" s="329"/>
      <c r="F67" s="444"/>
      <c r="G67" s="444"/>
      <c r="H67" s="227"/>
      <c r="I67" s="84"/>
      <c r="J67" s="83"/>
      <c r="K67" s="84"/>
      <c r="L67" s="83"/>
      <c r="M67" s="84"/>
      <c r="N67" s="84"/>
      <c r="O67" s="289"/>
    </row>
    <row r="68" spans="1:17" s="289" customFormat="1" ht="36" customHeight="1">
      <c r="A68" s="297"/>
      <c r="B68" s="442">
        <v>80</v>
      </c>
      <c r="C68" s="441" t="s">
        <v>779</v>
      </c>
      <c r="D68" s="104" t="s">
        <v>92</v>
      </c>
      <c r="E68" s="330"/>
      <c r="F68" s="444"/>
      <c r="G68" s="444"/>
      <c r="H68" s="227"/>
      <c r="I68" s="84"/>
      <c r="J68" s="83"/>
      <c r="K68" s="84"/>
      <c r="L68" s="83"/>
      <c r="M68" s="84"/>
      <c r="N68" s="84"/>
      <c r="O68" s="286"/>
      <c r="P68" s="287"/>
      <c r="Q68" s="288"/>
    </row>
    <row r="69" spans="1:17" s="292" customFormat="1" ht="36" customHeight="1">
      <c r="A69" s="297"/>
      <c r="B69" s="442"/>
      <c r="C69" s="441" t="s">
        <v>780</v>
      </c>
      <c r="D69" s="443" t="s">
        <v>535</v>
      </c>
      <c r="E69" s="301"/>
      <c r="F69" s="444"/>
      <c r="G69" s="444"/>
      <c r="H69" s="227"/>
      <c r="I69" s="84"/>
      <c r="J69" s="83"/>
      <c r="K69" s="84"/>
      <c r="L69" s="83"/>
      <c r="M69" s="84"/>
      <c r="N69" s="84"/>
      <c r="O69" s="296"/>
      <c r="P69" s="291"/>
      <c r="Q69" s="268"/>
    </row>
    <row r="70" spans="1:17" s="289" customFormat="1" ht="36" customHeight="1">
      <c r="A70" s="297"/>
      <c r="B70" s="442"/>
      <c r="C70" s="441" t="s">
        <v>781</v>
      </c>
      <c r="D70" s="443" t="s">
        <v>105</v>
      </c>
      <c r="E70" s="328"/>
      <c r="F70" s="444"/>
      <c r="G70" s="444"/>
      <c r="H70" s="227"/>
      <c r="I70" s="84"/>
      <c r="J70" s="83"/>
      <c r="K70" s="84"/>
      <c r="L70" s="83"/>
      <c r="M70" s="84"/>
      <c r="N70" s="84"/>
      <c r="O70" s="286"/>
      <c r="P70" s="287"/>
      <c r="Q70" s="288"/>
    </row>
    <row r="71" spans="1:17" s="292" customFormat="1" ht="18" customHeight="1">
      <c r="A71" s="297"/>
      <c r="B71" s="446">
        <v>63</v>
      </c>
      <c r="C71" s="441" t="s">
        <v>782</v>
      </c>
      <c r="D71" s="104" t="s">
        <v>92</v>
      </c>
      <c r="E71" s="301"/>
      <c r="F71" s="444"/>
      <c r="G71" s="444"/>
      <c r="H71" s="227"/>
      <c r="I71" s="84"/>
      <c r="J71" s="83"/>
      <c r="K71" s="84"/>
      <c r="L71" s="83"/>
      <c r="M71" s="84"/>
      <c r="N71" s="84"/>
      <c r="O71" s="296"/>
      <c r="P71" s="291"/>
      <c r="Q71" s="268"/>
    </row>
    <row r="72" spans="1:14" s="292" customFormat="1" ht="18" customHeight="1">
      <c r="A72" s="285"/>
      <c r="B72" s="446">
        <v>63</v>
      </c>
      <c r="C72" s="456" t="s">
        <v>536</v>
      </c>
      <c r="D72" s="104" t="s">
        <v>92</v>
      </c>
      <c r="E72" s="329"/>
      <c r="F72" s="444"/>
      <c r="G72" s="444"/>
      <c r="H72" s="227"/>
      <c r="I72" s="84"/>
      <c r="J72" s="83"/>
      <c r="K72" s="84"/>
      <c r="L72" s="83"/>
      <c r="M72" s="84"/>
      <c r="N72" s="84"/>
    </row>
    <row r="73" spans="1:14" s="292" customFormat="1" ht="36" customHeight="1">
      <c r="A73" s="297"/>
      <c r="B73" s="446">
        <v>32</v>
      </c>
      <c r="C73" s="441" t="s">
        <v>783</v>
      </c>
      <c r="D73" s="443" t="s">
        <v>105</v>
      </c>
      <c r="E73" s="330"/>
      <c r="F73" s="444"/>
      <c r="G73" s="444"/>
      <c r="H73" s="227"/>
      <c r="I73" s="84"/>
      <c r="J73" s="83"/>
      <c r="K73" s="84"/>
      <c r="L73" s="83"/>
      <c r="M73" s="84"/>
      <c r="N73" s="84"/>
    </row>
    <row r="74" spans="1:14" s="292" customFormat="1" ht="18" customHeight="1">
      <c r="A74" s="297"/>
      <c r="B74" s="446">
        <v>32</v>
      </c>
      <c r="C74" s="456" t="s">
        <v>536</v>
      </c>
      <c r="D74" s="104" t="s">
        <v>92</v>
      </c>
      <c r="E74" s="301"/>
      <c r="F74" s="444"/>
      <c r="G74" s="444"/>
      <c r="H74" s="227"/>
      <c r="I74" s="84"/>
      <c r="J74" s="83"/>
      <c r="K74" s="84"/>
      <c r="L74" s="83"/>
      <c r="M74" s="84"/>
      <c r="N74" s="84"/>
    </row>
    <row r="75" spans="1:16" s="283" customFormat="1" ht="18" customHeight="1">
      <c r="A75" s="276"/>
      <c r="B75" s="336"/>
      <c r="C75" s="277" t="s">
        <v>537</v>
      </c>
      <c r="D75" s="278"/>
      <c r="E75" s="327"/>
      <c r="F75" s="279"/>
      <c r="G75" s="279"/>
      <c r="H75" s="280"/>
      <c r="I75" s="281"/>
      <c r="J75" s="281"/>
      <c r="K75" s="282"/>
      <c r="L75" s="281"/>
      <c r="M75" s="281"/>
      <c r="N75" s="281"/>
      <c r="P75" s="284"/>
    </row>
    <row r="76" spans="1:17" s="292" customFormat="1" ht="36" customHeight="1">
      <c r="A76" s="285"/>
      <c r="B76" s="447">
        <v>80</v>
      </c>
      <c r="C76" s="507" t="s">
        <v>784</v>
      </c>
      <c r="D76" s="104" t="s">
        <v>92</v>
      </c>
      <c r="E76" s="301"/>
      <c r="F76" s="444"/>
      <c r="G76" s="444"/>
      <c r="H76" s="227"/>
      <c r="I76" s="84"/>
      <c r="J76" s="83"/>
      <c r="K76" s="84"/>
      <c r="L76" s="83"/>
      <c r="M76" s="84"/>
      <c r="N76" s="84"/>
      <c r="O76" s="296"/>
      <c r="P76" s="291"/>
      <c r="Q76" s="268"/>
    </row>
    <row r="77" spans="1:17" s="292" customFormat="1" ht="18" customHeight="1">
      <c r="A77" s="285"/>
      <c r="B77" s="448"/>
      <c r="C77" s="507" t="s">
        <v>544</v>
      </c>
      <c r="D77" s="104" t="s">
        <v>92</v>
      </c>
      <c r="E77" s="329"/>
      <c r="F77" s="444"/>
      <c r="G77" s="444"/>
      <c r="H77" s="227"/>
      <c r="I77" s="84"/>
      <c r="J77" s="83"/>
      <c r="K77" s="84"/>
      <c r="L77" s="83"/>
      <c r="M77" s="84"/>
      <c r="N77" s="84"/>
      <c r="O77" s="295"/>
      <c r="P77" s="268"/>
      <c r="Q77" s="268"/>
    </row>
    <row r="78" spans="1:17" s="292" customFormat="1" ht="18" customHeight="1">
      <c r="A78" s="285"/>
      <c r="B78" s="448"/>
      <c r="C78" s="507" t="s">
        <v>785</v>
      </c>
      <c r="D78" s="104" t="s">
        <v>92</v>
      </c>
      <c r="E78" s="330"/>
      <c r="F78" s="444"/>
      <c r="G78" s="444"/>
      <c r="H78" s="227"/>
      <c r="I78" s="84"/>
      <c r="J78" s="83"/>
      <c r="K78" s="84"/>
      <c r="L78" s="83"/>
      <c r="M78" s="84"/>
      <c r="N78" s="84"/>
      <c r="O78" s="295"/>
      <c r="P78" s="268"/>
      <c r="Q78" s="268"/>
    </row>
    <row r="79" spans="1:14" s="292" customFormat="1" ht="36" customHeight="1">
      <c r="A79" s="285"/>
      <c r="B79" s="448"/>
      <c r="C79" s="507" t="s">
        <v>538</v>
      </c>
      <c r="D79" s="104" t="s">
        <v>74</v>
      </c>
      <c r="E79" s="301"/>
      <c r="F79" s="84"/>
      <c r="G79" s="84"/>
      <c r="H79" s="227"/>
      <c r="I79" s="84"/>
      <c r="J79" s="83"/>
      <c r="K79" s="84"/>
      <c r="L79" s="83"/>
      <c r="M79" s="84"/>
      <c r="N79" s="84"/>
    </row>
    <row r="80" spans="1:17" s="289" customFormat="1" ht="18" customHeight="1">
      <c r="A80" s="297"/>
      <c r="B80" s="447">
        <v>80</v>
      </c>
      <c r="C80" s="507" t="s">
        <v>539</v>
      </c>
      <c r="D80" s="104" t="s">
        <v>92</v>
      </c>
      <c r="E80" s="328"/>
      <c r="F80" s="444"/>
      <c r="G80" s="444"/>
      <c r="H80" s="83"/>
      <c r="I80" s="84"/>
      <c r="J80" s="83"/>
      <c r="K80" s="84"/>
      <c r="L80" s="83"/>
      <c r="M80" s="84"/>
      <c r="N80" s="84"/>
      <c r="O80" s="286"/>
      <c r="P80" s="287"/>
      <c r="Q80" s="288"/>
    </row>
    <row r="81" spans="1:17" s="292" customFormat="1" ht="18" customHeight="1">
      <c r="A81" s="297"/>
      <c r="B81" s="447"/>
      <c r="C81" s="507" t="s">
        <v>540</v>
      </c>
      <c r="D81" s="104" t="s">
        <v>92</v>
      </c>
      <c r="E81" s="301"/>
      <c r="F81" s="444"/>
      <c r="G81" s="444"/>
      <c r="H81" s="227"/>
      <c r="I81" s="84"/>
      <c r="J81" s="83"/>
      <c r="K81" s="84"/>
      <c r="L81" s="83"/>
      <c r="M81" s="84"/>
      <c r="N81" s="84"/>
      <c r="O81" s="296"/>
      <c r="P81" s="291"/>
      <c r="Q81" s="268"/>
    </row>
    <row r="82" spans="1:14" s="292" customFormat="1" ht="18" customHeight="1">
      <c r="A82" s="285"/>
      <c r="B82" s="447">
        <v>80</v>
      </c>
      <c r="C82" s="507" t="s">
        <v>541</v>
      </c>
      <c r="D82" s="104" t="s">
        <v>92</v>
      </c>
      <c r="E82" s="329"/>
      <c r="F82" s="444"/>
      <c r="G82" s="444"/>
      <c r="H82" s="227"/>
      <c r="I82" s="84"/>
      <c r="J82" s="83"/>
      <c r="K82" s="84"/>
      <c r="L82" s="83"/>
      <c r="M82" s="84"/>
      <c r="N82" s="84"/>
    </row>
    <row r="83" spans="1:14" s="292" customFormat="1" ht="18" customHeight="1">
      <c r="A83" s="297"/>
      <c r="B83" s="447"/>
      <c r="C83" s="507" t="s">
        <v>542</v>
      </c>
      <c r="D83" s="104" t="s">
        <v>92</v>
      </c>
      <c r="E83" s="330"/>
      <c r="F83" s="444"/>
      <c r="G83" s="444"/>
      <c r="H83" s="227"/>
      <c r="I83" s="84"/>
      <c r="J83" s="83"/>
      <c r="K83" s="84"/>
      <c r="L83" s="83"/>
      <c r="M83" s="84"/>
      <c r="N83" s="84"/>
    </row>
    <row r="84" spans="1:14" s="292" customFormat="1" ht="18" customHeight="1">
      <c r="A84" s="297"/>
      <c r="B84" s="447"/>
      <c r="C84" s="507" t="s">
        <v>543</v>
      </c>
      <c r="D84" s="104" t="s">
        <v>92</v>
      </c>
      <c r="E84" s="301"/>
      <c r="F84" s="444"/>
      <c r="G84" s="444"/>
      <c r="H84" s="227"/>
      <c r="I84" s="84"/>
      <c r="J84" s="83"/>
      <c r="K84" s="84"/>
      <c r="L84" s="83"/>
      <c r="M84" s="84"/>
      <c r="N84" s="84"/>
    </row>
    <row r="85" spans="1:16" s="283" customFormat="1" ht="18" customHeight="1">
      <c r="A85" s="276"/>
      <c r="B85" s="336"/>
      <c r="C85" s="277" t="s">
        <v>545</v>
      </c>
      <c r="D85" s="278"/>
      <c r="E85" s="327"/>
      <c r="F85" s="279"/>
      <c r="G85" s="279"/>
      <c r="H85" s="227"/>
      <c r="I85" s="281"/>
      <c r="J85" s="281"/>
      <c r="K85" s="282"/>
      <c r="L85" s="281"/>
      <c r="M85" s="281"/>
      <c r="N85" s="281"/>
      <c r="P85" s="284"/>
    </row>
    <row r="86" spans="1:17" s="292" customFormat="1" ht="18" customHeight="1">
      <c r="A86" s="297"/>
      <c r="B86" s="442"/>
      <c r="C86" s="441" t="s">
        <v>546</v>
      </c>
      <c r="D86" s="104" t="s">
        <v>74</v>
      </c>
      <c r="E86" s="299"/>
      <c r="F86" s="444"/>
      <c r="G86" s="444"/>
      <c r="H86" s="227"/>
      <c r="I86" s="84"/>
      <c r="J86" s="83"/>
      <c r="K86" s="84"/>
      <c r="L86" s="83"/>
      <c r="M86" s="84"/>
      <c r="N86" s="84"/>
      <c r="O86" s="296"/>
      <c r="P86" s="291"/>
      <c r="Q86" s="268"/>
    </row>
    <row r="87" spans="1:15" s="292" customFormat="1" ht="18" customHeight="1">
      <c r="A87" s="285"/>
      <c r="B87" s="442"/>
      <c r="C87" s="441" t="s">
        <v>547</v>
      </c>
      <c r="D87" s="104" t="s">
        <v>86</v>
      </c>
      <c r="E87" s="329"/>
      <c r="F87" s="444"/>
      <c r="G87" s="444"/>
      <c r="H87" s="227"/>
      <c r="I87" s="84"/>
      <c r="J87" s="83"/>
      <c r="K87" s="84"/>
      <c r="L87" s="83"/>
      <c r="M87" s="84"/>
      <c r="N87" s="84"/>
      <c r="O87" s="289"/>
    </row>
    <row r="88" spans="1:17" s="289" customFormat="1" ht="18" customHeight="1">
      <c r="A88" s="297"/>
      <c r="B88" s="447">
        <v>80</v>
      </c>
      <c r="C88" s="441" t="s">
        <v>548</v>
      </c>
      <c r="D88" s="104" t="s">
        <v>86</v>
      </c>
      <c r="E88" s="330"/>
      <c r="F88" s="444"/>
      <c r="G88" s="444"/>
      <c r="H88" s="83"/>
      <c r="I88" s="84"/>
      <c r="J88" s="83"/>
      <c r="K88" s="84"/>
      <c r="L88" s="83"/>
      <c r="M88" s="84"/>
      <c r="N88" s="84"/>
      <c r="O88" s="286"/>
      <c r="P88" s="287"/>
      <c r="Q88" s="288"/>
    </row>
    <row r="89" spans="1:17" s="292" customFormat="1" ht="36" customHeight="1">
      <c r="A89" s="297"/>
      <c r="B89" s="447">
        <v>80</v>
      </c>
      <c r="C89" s="456" t="s">
        <v>786</v>
      </c>
      <c r="D89" s="104" t="s">
        <v>535</v>
      </c>
      <c r="E89" s="330"/>
      <c r="F89" s="444"/>
      <c r="G89" s="444"/>
      <c r="H89" s="227"/>
      <c r="I89" s="84"/>
      <c r="J89" s="83"/>
      <c r="K89" s="84"/>
      <c r="L89" s="83"/>
      <c r="M89" s="84"/>
      <c r="N89" s="84"/>
      <c r="O89" s="296"/>
      <c r="P89" s="291"/>
      <c r="Q89" s="268"/>
    </row>
    <row r="90" spans="1:14" s="292" customFormat="1" ht="18" customHeight="1">
      <c r="A90" s="297"/>
      <c r="B90" s="442"/>
      <c r="C90" s="441" t="s">
        <v>549</v>
      </c>
      <c r="D90" s="104" t="s">
        <v>74</v>
      </c>
      <c r="E90" s="328"/>
      <c r="F90" s="444"/>
      <c r="G90" s="444"/>
      <c r="H90" s="227"/>
      <c r="I90" s="84"/>
      <c r="J90" s="83"/>
      <c r="K90" s="84"/>
      <c r="L90" s="83"/>
      <c r="M90" s="84"/>
      <c r="N90" s="84"/>
    </row>
    <row r="91" spans="1:17" s="313" customFormat="1" ht="15" customHeight="1" thickBot="1">
      <c r="A91" s="267"/>
      <c r="B91" s="324"/>
      <c r="C91" s="308"/>
      <c r="D91" s="308"/>
      <c r="E91" s="332"/>
      <c r="F91" s="288"/>
      <c r="G91" s="288"/>
      <c r="H91" s="309"/>
      <c r="I91" s="310"/>
      <c r="J91" s="310"/>
      <c r="K91" s="311"/>
      <c r="L91" s="310"/>
      <c r="M91" s="311"/>
      <c r="N91" s="312"/>
      <c r="P91" s="267"/>
      <c r="Q91" s="267"/>
    </row>
    <row r="92" spans="1:17" s="202" customFormat="1" ht="18" customHeight="1">
      <c r="A92" s="197"/>
      <c r="B92" s="198"/>
      <c r="C92" s="160" t="s">
        <v>358</v>
      </c>
      <c r="D92" s="114"/>
      <c r="E92" s="114"/>
      <c r="F92" s="165"/>
      <c r="G92" s="165"/>
      <c r="H92" s="165"/>
      <c r="I92" s="166">
        <f>SUM(I11:I91)</f>
        <v>0</v>
      </c>
      <c r="J92" s="166"/>
      <c r="K92" s="166">
        <f>SUM(K11:K91)</f>
        <v>0</v>
      </c>
      <c r="L92" s="166"/>
      <c r="M92" s="166">
        <f>SUM(M11:M91)</f>
        <v>0</v>
      </c>
      <c r="N92" s="166">
        <f>SUM(N11:N91)</f>
        <v>0</v>
      </c>
      <c r="O92" s="199"/>
      <c r="P92" s="200"/>
      <c r="Q92" s="201"/>
    </row>
    <row r="93" spans="1:17" s="67" customFormat="1" ht="18" customHeight="1">
      <c r="A93" s="203"/>
      <c r="B93" s="123"/>
      <c r="C93" s="63" t="s">
        <v>133</v>
      </c>
      <c r="D93" s="72">
        <v>0.03</v>
      </c>
      <c r="E93" s="5"/>
      <c r="F93" s="204"/>
      <c r="G93" s="204"/>
      <c r="H93" s="63"/>
      <c r="I93" s="64"/>
      <c r="J93" s="64"/>
      <c r="K93" s="64"/>
      <c r="L93" s="64"/>
      <c r="M93" s="64"/>
      <c r="N93" s="65">
        <f>I92*D93</f>
        <v>0</v>
      </c>
      <c r="O93" s="205"/>
      <c r="P93" s="219"/>
      <c r="Q93" s="219"/>
    </row>
    <row r="94" spans="1:17" s="61" customFormat="1" ht="18" customHeight="1">
      <c r="A94" s="203"/>
      <c r="B94" s="123"/>
      <c r="C94" s="63" t="s">
        <v>68</v>
      </c>
      <c r="D94" s="69"/>
      <c r="E94" s="5"/>
      <c r="F94" s="68"/>
      <c r="G94" s="68"/>
      <c r="H94" s="68"/>
      <c r="I94" s="70"/>
      <c r="J94" s="70"/>
      <c r="K94" s="70"/>
      <c r="L94" s="70"/>
      <c r="M94" s="70"/>
      <c r="N94" s="65">
        <f>SUM(N92:N93)</f>
        <v>0</v>
      </c>
      <c r="O94" s="124"/>
      <c r="P94" s="220"/>
      <c r="Q94" s="220"/>
    </row>
    <row r="95" spans="1:17" s="67" customFormat="1" ht="18" customHeight="1">
      <c r="A95" s="203"/>
      <c r="B95" s="123"/>
      <c r="C95" s="63" t="s">
        <v>123</v>
      </c>
      <c r="D95" s="72">
        <v>0.1</v>
      </c>
      <c r="E95" s="5"/>
      <c r="F95" s="204"/>
      <c r="G95" s="204"/>
      <c r="H95" s="63"/>
      <c r="I95" s="64"/>
      <c r="J95" s="64"/>
      <c r="K95" s="64"/>
      <c r="L95" s="64"/>
      <c r="M95" s="64"/>
      <c r="N95" s="65">
        <f>N94*D95</f>
        <v>0</v>
      </c>
      <c r="O95" s="205"/>
      <c r="P95" s="219"/>
      <c r="Q95" s="219"/>
    </row>
    <row r="96" spans="1:17" s="61" customFormat="1" ht="18" customHeight="1">
      <c r="A96" s="203"/>
      <c r="B96" s="123"/>
      <c r="C96" s="63" t="s">
        <v>68</v>
      </c>
      <c r="D96" s="69"/>
      <c r="E96" s="5"/>
      <c r="F96" s="68"/>
      <c r="G96" s="68"/>
      <c r="H96" s="68"/>
      <c r="I96" s="70"/>
      <c r="J96" s="70"/>
      <c r="K96" s="70"/>
      <c r="L96" s="70"/>
      <c r="M96" s="70"/>
      <c r="N96" s="65">
        <f>SUM(N94:N95)</f>
        <v>0</v>
      </c>
      <c r="O96" s="124"/>
      <c r="P96" s="220"/>
      <c r="Q96" s="220"/>
    </row>
    <row r="97" spans="1:15" s="67" customFormat="1" ht="18" customHeight="1">
      <c r="A97" s="203"/>
      <c r="B97" s="123"/>
      <c r="C97" s="63" t="s">
        <v>124</v>
      </c>
      <c r="D97" s="72">
        <v>0.08</v>
      </c>
      <c r="E97" s="5"/>
      <c r="F97" s="204"/>
      <c r="G97" s="204"/>
      <c r="H97" s="63"/>
      <c r="I97" s="64"/>
      <c r="J97" s="64"/>
      <c r="K97" s="64"/>
      <c r="L97" s="64"/>
      <c r="M97" s="64"/>
      <c r="N97" s="65">
        <f>N96*D97</f>
        <v>0</v>
      </c>
      <c r="O97" s="124"/>
    </row>
    <row r="98" spans="1:15" s="210" customFormat="1" ht="21" customHeight="1" thickBot="1">
      <c r="A98" s="206"/>
      <c r="B98" s="207"/>
      <c r="C98" s="161" t="s">
        <v>141</v>
      </c>
      <c r="D98" s="115"/>
      <c r="E98" s="116"/>
      <c r="F98" s="208"/>
      <c r="G98" s="208"/>
      <c r="H98" s="161"/>
      <c r="I98" s="167"/>
      <c r="J98" s="167"/>
      <c r="K98" s="167"/>
      <c r="L98" s="167"/>
      <c r="M98" s="167"/>
      <c r="N98" s="168">
        <f>SUM(N96:N97)</f>
        <v>0</v>
      </c>
      <c r="O98" s="209"/>
    </row>
    <row r="99" spans="1:15" s="86" customFormat="1" ht="15">
      <c r="A99" s="24"/>
      <c r="B99" s="90"/>
      <c r="C99" s="162"/>
      <c r="D99" s="117"/>
      <c r="E99" s="24"/>
      <c r="F99" s="162"/>
      <c r="G99" s="162"/>
      <c r="H99" s="162"/>
      <c r="I99" s="162"/>
      <c r="J99" s="169"/>
      <c r="K99" s="162"/>
      <c r="L99" s="169"/>
      <c r="M99" s="162"/>
      <c r="N99" s="67"/>
      <c r="O99" s="211"/>
    </row>
    <row r="100" spans="1:15" s="86" customFormat="1" ht="15">
      <c r="A100" s="24"/>
      <c r="B100" s="90"/>
      <c r="C100" s="82"/>
      <c r="D100" s="117"/>
      <c r="E100" s="24"/>
      <c r="F100" s="162"/>
      <c r="G100" s="162"/>
      <c r="H100" s="162"/>
      <c r="I100" s="162"/>
      <c r="J100" s="169"/>
      <c r="K100" s="162"/>
      <c r="L100" s="169"/>
      <c r="M100" s="162"/>
      <c r="N100" s="67"/>
      <c r="O100" s="142"/>
    </row>
    <row r="101" spans="1:15" s="86" customFormat="1" ht="15">
      <c r="A101" s="24"/>
      <c r="B101" s="90"/>
      <c r="C101" s="82"/>
      <c r="D101" s="117"/>
      <c r="E101" s="24"/>
      <c r="F101" s="162"/>
      <c r="G101" s="162"/>
      <c r="H101" s="162"/>
      <c r="I101" s="162"/>
      <c r="J101" s="169"/>
      <c r="K101" s="162"/>
      <c r="L101" s="169"/>
      <c r="M101" s="162"/>
      <c r="N101" s="67"/>
      <c r="O101" s="142"/>
    </row>
    <row r="102" spans="1:15" s="86" customFormat="1" ht="15">
      <c r="A102" s="24"/>
      <c r="B102" s="90"/>
      <c r="C102" s="15"/>
      <c r="D102" s="117"/>
      <c r="E102" s="24"/>
      <c r="F102" s="162"/>
      <c r="G102" s="162"/>
      <c r="H102" s="162"/>
      <c r="I102" s="162"/>
      <c r="J102" s="169"/>
      <c r="K102" s="170"/>
      <c r="L102" s="169"/>
      <c r="M102" s="162"/>
      <c r="N102" s="67"/>
      <c r="O102" s="142"/>
    </row>
    <row r="103" spans="1:15" s="163" customFormat="1" ht="18" customHeight="1">
      <c r="A103" s="118"/>
      <c r="B103" s="212"/>
      <c r="D103" s="118"/>
      <c r="E103" s="119"/>
      <c r="H103" s="678"/>
      <c r="I103" s="678"/>
      <c r="J103" s="678"/>
      <c r="N103" s="27"/>
      <c r="O103" s="176"/>
    </row>
    <row r="104" spans="1:17" s="320" customFormat="1" ht="15.75">
      <c r="A104" s="267"/>
      <c r="B104" s="340"/>
      <c r="C104" s="315"/>
      <c r="D104" s="315"/>
      <c r="E104" s="324"/>
      <c r="F104" s="268"/>
      <c r="G104" s="268"/>
      <c r="H104" s="316"/>
      <c r="I104" s="316"/>
      <c r="J104" s="317"/>
      <c r="K104" s="316"/>
      <c r="L104" s="317"/>
      <c r="M104" s="316"/>
      <c r="N104" s="318"/>
      <c r="O104" s="319"/>
      <c r="P104" s="319"/>
      <c r="Q104" s="319"/>
    </row>
    <row r="105" spans="1:17" s="320" customFormat="1" ht="15.75">
      <c r="A105" s="267"/>
      <c r="B105" s="340"/>
      <c r="C105" s="315"/>
      <c r="D105" s="315"/>
      <c r="E105" s="324"/>
      <c r="F105" s="268"/>
      <c r="G105" s="268"/>
      <c r="H105" s="316"/>
      <c r="I105" s="316"/>
      <c r="J105" s="317"/>
      <c r="K105" s="316"/>
      <c r="L105" s="317"/>
      <c r="M105" s="316"/>
      <c r="N105" s="318"/>
      <c r="O105" s="319"/>
      <c r="P105" s="319"/>
      <c r="Q105" s="319"/>
    </row>
    <row r="106" spans="1:17" s="320" customFormat="1" ht="15.75">
      <c r="A106" s="267"/>
      <c r="B106" s="340"/>
      <c r="C106" s="315"/>
      <c r="D106" s="315"/>
      <c r="E106" s="324"/>
      <c r="F106" s="268"/>
      <c r="G106" s="268"/>
      <c r="H106" s="316"/>
      <c r="I106" s="316"/>
      <c r="J106" s="317"/>
      <c r="K106" s="316"/>
      <c r="L106" s="317"/>
      <c r="M106" s="316"/>
      <c r="N106" s="318"/>
      <c r="O106" s="319"/>
      <c r="P106" s="319"/>
      <c r="Q106" s="319"/>
    </row>
    <row r="107" spans="1:17" s="320" customFormat="1" ht="15.75">
      <c r="A107" s="267"/>
      <c r="B107" s="340"/>
      <c r="C107" s="315"/>
      <c r="D107" s="315"/>
      <c r="E107" s="324"/>
      <c r="F107" s="268"/>
      <c r="G107" s="268"/>
      <c r="H107" s="316"/>
      <c r="I107" s="316"/>
      <c r="J107" s="317"/>
      <c r="K107" s="316"/>
      <c r="L107" s="317"/>
      <c r="M107" s="316"/>
      <c r="N107" s="318"/>
      <c r="O107" s="319"/>
      <c r="P107" s="319"/>
      <c r="Q107" s="319"/>
    </row>
    <row r="108" spans="1:17" s="320" customFormat="1" ht="15.75">
      <c r="A108" s="267"/>
      <c r="B108" s="340"/>
      <c r="C108" s="315"/>
      <c r="D108" s="315"/>
      <c r="E108" s="324"/>
      <c r="F108" s="268"/>
      <c r="G108" s="268"/>
      <c r="H108" s="316"/>
      <c r="I108" s="316"/>
      <c r="J108" s="317"/>
      <c r="K108" s="316"/>
      <c r="L108" s="317"/>
      <c r="M108" s="316"/>
      <c r="N108" s="318"/>
      <c r="O108" s="319"/>
      <c r="P108" s="319"/>
      <c r="Q108" s="319"/>
    </row>
    <row r="109" spans="1:17" s="320" customFormat="1" ht="15.75">
      <c r="A109" s="267"/>
      <c r="B109" s="340"/>
      <c r="C109" s="315"/>
      <c r="D109" s="315"/>
      <c r="E109" s="324"/>
      <c r="F109" s="268"/>
      <c r="G109" s="268"/>
      <c r="H109" s="316"/>
      <c r="I109" s="316"/>
      <c r="J109" s="317"/>
      <c r="K109" s="316"/>
      <c r="L109" s="317"/>
      <c r="M109" s="316"/>
      <c r="N109" s="318"/>
      <c r="O109" s="319"/>
      <c r="P109" s="319"/>
      <c r="Q109" s="319"/>
    </row>
    <row r="110" spans="1:17" s="320" customFormat="1" ht="15.75">
      <c r="A110" s="267"/>
      <c r="B110" s="340"/>
      <c r="C110" s="315"/>
      <c r="D110" s="315"/>
      <c r="E110" s="324"/>
      <c r="F110" s="268"/>
      <c r="G110" s="268"/>
      <c r="H110" s="316"/>
      <c r="I110" s="316"/>
      <c r="J110" s="317"/>
      <c r="K110" s="316"/>
      <c r="L110" s="317"/>
      <c r="M110" s="316"/>
      <c r="N110" s="318"/>
      <c r="O110" s="319"/>
      <c r="P110" s="319"/>
      <c r="Q110" s="319"/>
    </row>
    <row r="111" spans="1:17" s="320" customFormat="1" ht="15.75">
      <c r="A111" s="267"/>
      <c r="B111" s="340"/>
      <c r="C111" s="315"/>
      <c r="D111" s="315"/>
      <c r="E111" s="324"/>
      <c r="F111" s="268"/>
      <c r="G111" s="268"/>
      <c r="H111" s="316"/>
      <c r="I111" s="316"/>
      <c r="J111" s="317"/>
      <c r="K111" s="316"/>
      <c r="L111" s="317"/>
      <c r="M111" s="316"/>
      <c r="N111" s="318"/>
      <c r="O111" s="319"/>
      <c r="P111" s="319"/>
      <c r="Q111" s="319"/>
    </row>
    <row r="112" spans="1:17" s="320" customFormat="1" ht="15.75">
      <c r="A112" s="267"/>
      <c r="B112" s="340"/>
      <c r="C112" s="315"/>
      <c r="D112" s="315"/>
      <c r="E112" s="324"/>
      <c r="F112" s="268"/>
      <c r="G112" s="268"/>
      <c r="H112" s="316"/>
      <c r="I112" s="316"/>
      <c r="J112" s="317"/>
      <c r="K112" s="316"/>
      <c r="L112" s="317"/>
      <c r="M112" s="316"/>
      <c r="N112" s="318"/>
      <c r="O112" s="319"/>
      <c r="P112" s="319"/>
      <c r="Q112" s="319"/>
    </row>
    <row r="113" spans="1:17" s="320" customFormat="1" ht="15.75">
      <c r="A113" s="267"/>
      <c r="B113" s="340"/>
      <c r="C113" s="315"/>
      <c r="D113" s="315"/>
      <c r="E113" s="324"/>
      <c r="F113" s="268"/>
      <c r="G113" s="268"/>
      <c r="H113" s="316"/>
      <c r="I113" s="316"/>
      <c r="J113" s="317"/>
      <c r="K113" s="316"/>
      <c r="L113" s="317"/>
      <c r="M113" s="316"/>
      <c r="N113" s="318"/>
      <c r="O113" s="319"/>
      <c r="P113" s="319"/>
      <c r="Q113" s="319"/>
    </row>
    <row r="114" spans="1:17" s="320" customFormat="1" ht="15.75">
      <c r="A114" s="267"/>
      <c r="B114" s="340"/>
      <c r="C114" s="315"/>
      <c r="D114" s="315"/>
      <c r="E114" s="324"/>
      <c r="F114" s="268"/>
      <c r="G114" s="268"/>
      <c r="H114" s="316"/>
      <c r="I114" s="316"/>
      <c r="J114" s="317"/>
      <c r="K114" s="316"/>
      <c r="L114" s="317"/>
      <c r="M114" s="316"/>
      <c r="N114" s="318"/>
      <c r="O114" s="319"/>
      <c r="P114" s="319"/>
      <c r="Q114" s="319"/>
    </row>
    <row r="115" spans="1:17" s="320" customFormat="1" ht="15.75">
      <c r="A115" s="267"/>
      <c r="B115" s="340"/>
      <c r="C115" s="315"/>
      <c r="D115" s="315"/>
      <c r="E115" s="324"/>
      <c r="F115" s="268"/>
      <c r="G115" s="268"/>
      <c r="H115" s="316"/>
      <c r="I115" s="316"/>
      <c r="J115" s="317"/>
      <c r="K115" s="316"/>
      <c r="L115" s="317"/>
      <c r="M115" s="316"/>
      <c r="N115" s="318"/>
      <c r="O115" s="319"/>
      <c r="P115" s="319"/>
      <c r="Q115" s="319"/>
    </row>
    <row r="116" spans="1:17" s="320" customFormat="1" ht="15.75">
      <c r="A116" s="267"/>
      <c r="B116" s="340"/>
      <c r="C116" s="315"/>
      <c r="D116" s="315"/>
      <c r="E116" s="324"/>
      <c r="F116" s="268"/>
      <c r="G116" s="268"/>
      <c r="H116" s="316"/>
      <c r="I116" s="316"/>
      <c r="J116" s="317"/>
      <c r="K116" s="316"/>
      <c r="L116" s="317"/>
      <c r="M116" s="316"/>
      <c r="N116" s="318"/>
      <c r="O116" s="319"/>
      <c r="P116" s="319"/>
      <c r="Q116" s="319"/>
    </row>
    <row r="117" spans="1:17" s="320" customFormat="1" ht="15.75">
      <c r="A117" s="267"/>
      <c r="B117" s="340"/>
      <c r="C117" s="315"/>
      <c r="D117" s="315"/>
      <c r="E117" s="324"/>
      <c r="F117" s="268"/>
      <c r="G117" s="268"/>
      <c r="H117" s="316"/>
      <c r="I117" s="316"/>
      <c r="J117" s="317"/>
      <c r="K117" s="316"/>
      <c r="L117" s="317"/>
      <c r="M117" s="316"/>
      <c r="N117" s="318"/>
      <c r="O117" s="319"/>
      <c r="P117" s="319"/>
      <c r="Q117" s="319"/>
    </row>
    <row r="118" spans="1:17" s="320" customFormat="1" ht="15.75">
      <c r="A118" s="267"/>
      <c r="B118" s="340"/>
      <c r="C118" s="315"/>
      <c r="D118" s="315"/>
      <c r="E118" s="324"/>
      <c r="F118" s="268"/>
      <c r="G118" s="268"/>
      <c r="H118" s="316"/>
      <c r="I118" s="316"/>
      <c r="J118" s="317"/>
      <c r="K118" s="316"/>
      <c r="L118" s="317"/>
      <c r="M118" s="316"/>
      <c r="N118" s="318"/>
      <c r="O118" s="319"/>
      <c r="P118" s="319"/>
      <c r="Q118" s="319"/>
    </row>
    <row r="119" spans="1:17" s="320" customFormat="1" ht="15.75">
      <c r="A119" s="267"/>
      <c r="B119" s="340"/>
      <c r="C119" s="315"/>
      <c r="D119" s="315"/>
      <c r="E119" s="324"/>
      <c r="F119" s="268"/>
      <c r="G119" s="268"/>
      <c r="H119" s="316"/>
      <c r="I119" s="316"/>
      <c r="J119" s="317"/>
      <c r="K119" s="316"/>
      <c r="L119" s="317"/>
      <c r="M119" s="316"/>
      <c r="N119" s="318"/>
      <c r="O119" s="319"/>
      <c r="P119" s="319"/>
      <c r="Q119" s="319"/>
    </row>
    <row r="120" spans="1:17" s="320" customFormat="1" ht="15.75">
      <c r="A120" s="267"/>
      <c r="B120" s="340"/>
      <c r="C120" s="315"/>
      <c r="D120" s="315"/>
      <c r="E120" s="324"/>
      <c r="F120" s="268"/>
      <c r="G120" s="268"/>
      <c r="H120" s="316"/>
      <c r="I120" s="316"/>
      <c r="J120" s="317"/>
      <c r="K120" s="316"/>
      <c r="L120" s="317"/>
      <c r="M120" s="316"/>
      <c r="N120" s="318"/>
      <c r="O120" s="319"/>
      <c r="P120" s="319"/>
      <c r="Q120" s="319"/>
    </row>
    <row r="121" spans="1:17" s="320" customFormat="1" ht="15.75">
      <c r="A121" s="267"/>
      <c r="B121" s="340"/>
      <c r="C121" s="315"/>
      <c r="D121" s="315"/>
      <c r="E121" s="324"/>
      <c r="F121" s="268"/>
      <c r="G121" s="268"/>
      <c r="H121" s="316"/>
      <c r="I121" s="316"/>
      <c r="J121" s="317"/>
      <c r="K121" s="316"/>
      <c r="L121" s="317"/>
      <c r="M121" s="316"/>
      <c r="N121" s="318"/>
      <c r="O121" s="319"/>
      <c r="P121" s="319"/>
      <c r="Q121" s="319"/>
    </row>
    <row r="122" spans="1:17" s="320" customFormat="1" ht="15.75">
      <c r="A122" s="267"/>
      <c r="B122" s="340"/>
      <c r="C122" s="315"/>
      <c r="D122" s="315"/>
      <c r="E122" s="324"/>
      <c r="F122" s="268"/>
      <c r="G122" s="268"/>
      <c r="H122" s="316"/>
      <c r="I122" s="316"/>
      <c r="J122" s="317"/>
      <c r="K122" s="316"/>
      <c r="L122" s="317"/>
      <c r="M122" s="316"/>
      <c r="N122" s="318"/>
      <c r="O122" s="319"/>
      <c r="P122" s="319"/>
      <c r="Q122" s="319"/>
    </row>
    <row r="123" spans="1:17" s="320" customFormat="1" ht="15.75">
      <c r="A123" s="267"/>
      <c r="B123" s="340"/>
      <c r="C123" s="315"/>
      <c r="D123" s="315"/>
      <c r="E123" s="324"/>
      <c r="F123" s="268"/>
      <c r="G123" s="268"/>
      <c r="H123" s="316"/>
      <c r="I123" s="316"/>
      <c r="J123" s="317"/>
      <c r="K123" s="316"/>
      <c r="L123" s="317"/>
      <c r="M123" s="316"/>
      <c r="N123" s="318"/>
      <c r="O123" s="319"/>
      <c r="P123" s="319"/>
      <c r="Q123" s="319"/>
    </row>
    <row r="124" spans="1:17" s="320" customFormat="1" ht="15.75">
      <c r="A124" s="267"/>
      <c r="B124" s="340"/>
      <c r="C124" s="315"/>
      <c r="D124" s="315"/>
      <c r="E124" s="324"/>
      <c r="F124" s="268"/>
      <c r="G124" s="268"/>
      <c r="H124" s="316"/>
      <c r="I124" s="316"/>
      <c r="J124" s="317"/>
      <c r="K124" s="316"/>
      <c r="L124" s="317"/>
      <c r="M124" s="316"/>
      <c r="N124" s="318"/>
      <c r="O124" s="319"/>
      <c r="P124" s="319"/>
      <c r="Q124" s="319"/>
    </row>
    <row r="125" spans="1:17" s="320" customFormat="1" ht="15.75">
      <c r="A125" s="267"/>
      <c r="B125" s="340"/>
      <c r="C125" s="315"/>
      <c r="D125" s="315"/>
      <c r="E125" s="324"/>
      <c r="F125" s="268"/>
      <c r="G125" s="268"/>
      <c r="H125" s="316"/>
      <c r="I125" s="316"/>
      <c r="J125" s="317"/>
      <c r="K125" s="316"/>
      <c r="L125" s="317"/>
      <c r="M125" s="316"/>
      <c r="N125" s="318"/>
      <c r="O125" s="319"/>
      <c r="P125" s="319"/>
      <c r="Q125" s="319"/>
    </row>
    <row r="126" spans="1:17" s="320" customFormat="1" ht="15.75">
      <c r="A126" s="267"/>
      <c r="B126" s="340"/>
      <c r="C126" s="315"/>
      <c r="D126" s="315"/>
      <c r="E126" s="324"/>
      <c r="F126" s="268"/>
      <c r="G126" s="268"/>
      <c r="H126" s="316"/>
      <c r="I126" s="316"/>
      <c r="J126" s="317"/>
      <c r="K126" s="316"/>
      <c r="L126" s="317"/>
      <c r="M126" s="316"/>
      <c r="N126" s="318"/>
      <c r="O126" s="319"/>
      <c r="P126" s="319"/>
      <c r="Q126" s="319"/>
    </row>
    <row r="127" spans="1:17" s="320" customFormat="1" ht="15.75">
      <c r="A127" s="267"/>
      <c r="B127" s="340"/>
      <c r="C127" s="315"/>
      <c r="D127" s="315"/>
      <c r="E127" s="324"/>
      <c r="F127" s="268"/>
      <c r="G127" s="268"/>
      <c r="H127" s="316"/>
      <c r="I127" s="316"/>
      <c r="J127" s="317"/>
      <c r="K127" s="316"/>
      <c r="L127" s="317"/>
      <c r="M127" s="316"/>
      <c r="N127" s="318"/>
      <c r="O127" s="319"/>
      <c r="P127" s="319"/>
      <c r="Q127" s="319"/>
    </row>
    <row r="128" spans="1:17" s="320" customFormat="1" ht="15.75">
      <c r="A128" s="267"/>
      <c r="B128" s="340"/>
      <c r="C128" s="315"/>
      <c r="D128" s="315"/>
      <c r="E128" s="324"/>
      <c r="F128" s="268"/>
      <c r="G128" s="268"/>
      <c r="H128" s="316"/>
      <c r="I128" s="316"/>
      <c r="J128" s="317"/>
      <c r="K128" s="316"/>
      <c r="L128" s="317"/>
      <c r="M128" s="316"/>
      <c r="N128" s="318"/>
      <c r="O128" s="319"/>
      <c r="P128" s="319"/>
      <c r="Q128" s="319"/>
    </row>
    <row r="129" spans="1:17" s="320" customFormat="1" ht="15.75">
      <c r="A129" s="267"/>
      <c r="B129" s="340"/>
      <c r="C129" s="315"/>
      <c r="D129" s="315"/>
      <c r="E129" s="324"/>
      <c r="F129" s="268"/>
      <c r="G129" s="268"/>
      <c r="H129" s="316"/>
      <c r="I129" s="316"/>
      <c r="J129" s="317"/>
      <c r="K129" s="316"/>
      <c r="L129" s="317"/>
      <c r="M129" s="316"/>
      <c r="N129" s="318"/>
      <c r="O129" s="319"/>
      <c r="P129" s="319"/>
      <c r="Q129" s="319"/>
    </row>
    <row r="130" spans="1:17" s="320" customFormat="1" ht="15.75">
      <c r="A130" s="267"/>
      <c r="B130" s="340"/>
      <c r="C130" s="315"/>
      <c r="D130" s="315"/>
      <c r="E130" s="324"/>
      <c r="F130" s="268"/>
      <c r="G130" s="268"/>
      <c r="H130" s="316"/>
      <c r="I130" s="316"/>
      <c r="J130" s="317"/>
      <c r="K130" s="316"/>
      <c r="L130" s="317"/>
      <c r="M130" s="316"/>
      <c r="N130" s="318"/>
      <c r="O130" s="319"/>
      <c r="P130" s="319"/>
      <c r="Q130" s="319"/>
    </row>
    <row r="131" spans="1:17" s="320" customFormat="1" ht="15.75">
      <c r="A131" s="267"/>
      <c r="B131" s="340"/>
      <c r="C131" s="315"/>
      <c r="D131" s="315"/>
      <c r="E131" s="324"/>
      <c r="F131" s="268"/>
      <c r="G131" s="268"/>
      <c r="H131" s="316"/>
      <c r="I131" s="316"/>
      <c r="J131" s="317"/>
      <c r="K131" s="316"/>
      <c r="L131" s="317"/>
      <c r="M131" s="316"/>
      <c r="N131" s="318"/>
      <c r="O131" s="319"/>
      <c r="P131" s="319"/>
      <c r="Q131" s="319"/>
    </row>
    <row r="132" spans="1:17" s="320" customFormat="1" ht="15.75">
      <c r="A132" s="267"/>
      <c r="B132" s="340"/>
      <c r="C132" s="315"/>
      <c r="D132" s="315"/>
      <c r="E132" s="324"/>
      <c r="F132" s="268"/>
      <c r="G132" s="268"/>
      <c r="H132" s="316"/>
      <c r="I132" s="316"/>
      <c r="J132" s="317"/>
      <c r="K132" s="316"/>
      <c r="L132" s="317"/>
      <c r="M132" s="316"/>
      <c r="N132" s="318"/>
      <c r="O132" s="319"/>
      <c r="P132" s="319"/>
      <c r="Q132" s="319"/>
    </row>
    <row r="133" spans="1:17" s="320" customFormat="1" ht="15.75">
      <c r="A133" s="267"/>
      <c r="B133" s="340"/>
      <c r="C133" s="315"/>
      <c r="D133" s="315"/>
      <c r="E133" s="324"/>
      <c r="F133" s="268"/>
      <c r="G133" s="268"/>
      <c r="H133" s="316"/>
      <c r="I133" s="316"/>
      <c r="J133" s="317"/>
      <c r="K133" s="316"/>
      <c r="L133" s="317"/>
      <c r="M133" s="316"/>
      <c r="N133" s="318"/>
      <c r="O133" s="319"/>
      <c r="P133" s="319"/>
      <c r="Q133" s="319"/>
    </row>
    <row r="134" spans="1:17" s="320" customFormat="1" ht="15.75">
      <c r="A134" s="267"/>
      <c r="B134" s="340"/>
      <c r="C134" s="315"/>
      <c r="D134" s="315"/>
      <c r="E134" s="324"/>
      <c r="F134" s="268"/>
      <c r="G134" s="268"/>
      <c r="H134" s="316"/>
      <c r="I134" s="316"/>
      <c r="J134" s="317"/>
      <c r="K134" s="316"/>
      <c r="L134" s="317"/>
      <c r="M134" s="316"/>
      <c r="N134" s="318"/>
      <c r="O134" s="319"/>
      <c r="P134" s="319"/>
      <c r="Q134" s="319"/>
    </row>
    <row r="135" spans="1:17" s="320" customFormat="1" ht="15.75">
      <c r="A135" s="267"/>
      <c r="B135" s="340"/>
      <c r="C135" s="315"/>
      <c r="D135" s="315"/>
      <c r="E135" s="324"/>
      <c r="F135" s="268"/>
      <c r="G135" s="268"/>
      <c r="H135" s="316"/>
      <c r="I135" s="316"/>
      <c r="J135" s="317"/>
      <c r="K135" s="316"/>
      <c r="L135" s="317"/>
      <c r="M135" s="316"/>
      <c r="N135" s="318"/>
      <c r="O135" s="319"/>
      <c r="P135" s="319"/>
      <c r="Q135" s="319"/>
    </row>
    <row r="136" spans="1:17" s="320" customFormat="1" ht="15.75">
      <c r="A136" s="267"/>
      <c r="B136" s="340"/>
      <c r="C136" s="315"/>
      <c r="D136" s="315"/>
      <c r="E136" s="324"/>
      <c r="F136" s="268"/>
      <c r="G136" s="268"/>
      <c r="H136" s="316"/>
      <c r="I136" s="316"/>
      <c r="J136" s="317"/>
      <c r="K136" s="316"/>
      <c r="L136" s="317"/>
      <c r="M136" s="316"/>
      <c r="N136" s="318"/>
      <c r="O136" s="319"/>
      <c r="P136" s="319"/>
      <c r="Q136" s="319"/>
    </row>
    <row r="137" spans="1:17" s="320" customFormat="1" ht="15.75">
      <c r="A137" s="267"/>
      <c r="B137" s="340"/>
      <c r="C137" s="315"/>
      <c r="D137" s="315"/>
      <c r="E137" s="324"/>
      <c r="F137" s="268"/>
      <c r="G137" s="268"/>
      <c r="H137" s="316"/>
      <c r="I137" s="316"/>
      <c r="J137" s="317"/>
      <c r="K137" s="316"/>
      <c r="L137" s="317"/>
      <c r="M137" s="316"/>
      <c r="N137" s="318"/>
      <c r="O137" s="319"/>
      <c r="P137" s="319"/>
      <c r="Q137" s="319"/>
    </row>
    <row r="138" spans="1:17" s="320" customFormat="1" ht="15.75">
      <c r="A138" s="267"/>
      <c r="B138" s="340"/>
      <c r="C138" s="315"/>
      <c r="D138" s="315"/>
      <c r="E138" s="324"/>
      <c r="F138" s="268"/>
      <c r="G138" s="268"/>
      <c r="H138" s="316"/>
      <c r="I138" s="316"/>
      <c r="J138" s="317"/>
      <c r="K138" s="316"/>
      <c r="L138" s="317"/>
      <c r="M138" s="316"/>
      <c r="N138" s="318"/>
      <c r="O138" s="319"/>
      <c r="P138" s="319"/>
      <c r="Q138" s="319"/>
    </row>
    <row r="139" spans="1:17" s="320" customFormat="1" ht="15.75">
      <c r="A139" s="267"/>
      <c r="B139" s="340"/>
      <c r="C139" s="315"/>
      <c r="D139" s="315"/>
      <c r="E139" s="324"/>
      <c r="F139" s="268"/>
      <c r="G139" s="268"/>
      <c r="H139" s="316"/>
      <c r="I139" s="316"/>
      <c r="J139" s="317"/>
      <c r="K139" s="316"/>
      <c r="L139" s="317"/>
      <c r="M139" s="316"/>
      <c r="N139" s="318"/>
      <c r="O139" s="319"/>
      <c r="P139" s="319"/>
      <c r="Q139" s="319"/>
    </row>
    <row r="140" spans="1:17" s="320" customFormat="1" ht="15.75">
      <c r="A140" s="267"/>
      <c r="B140" s="340"/>
      <c r="C140" s="315"/>
      <c r="D140" s="315"/>
      <c r="E140" s="324"/>
      <c r="F140" s="268"/>
      <c r="G140" s="268"/>
      <c r="H140" s="316"/>
      <c r="I140" s="316"/>
      <c r="J140" s="317"/>
      <c r="K140" s="316"/>
      <c r="L140" s="317"/>
      <c r="M140" s="316"/>
      <c r="N140" s="318"/>
      <c r="O140" s="319"/>
      <c r="P140" s="319"/>
      <c r="Q140" s="319"/>
    </row>
    <row r="141" spans="1:17" s="320" customFormat="1" ht="15.75">
      <c r="A141" s="267"/>
      <c r="B141" s="340"/>
      <c r="C141" s="315"/>
      <c r="D141" s="315"/>
      <c r="E141" s="324"/>
      <c r="F141" s="268"/>
      <c r="G141" s="268"/>
      <c r="H141" s="316"/>
      <c r="I141" s="316"/>
      <c r="J141" s="317"/>
      <c r="K141" s="316"/>
      <c r="L141" s="317"/>
      <c r="M141" s="316"/>
      <c r="N141" s="318"/>
      <c r="O141" s="319"/>
      <c r="P141" s="319"/>
      <c r="Q141" s="319"/>
    </row>
    <row r="142" spans="1:17" s="320" customFormat="1" ht="15.75">
      <c r="A142" s="267"/>
      <c r="B142" s="340"/>
      <c r="C142" s="315"/>
      <c r="D142" s="315"/>
      <c r="E142" s="324"/>
      <c r="F142" s="268"/>
      <c r="G142" s="268"/>
      <c r="H142" s="316"/>
      <c r="I142" s="316"/>
      <c r="J142" s="317"/>
      <c r="K142" s="316"/>
      <c r="L142" s="317"/>
      <c r="M142" s="316"/>
      <c r="N142" s="318"/>
      <c r="O142" s="319"/>
      <c r="P142" s="319"/>
      <c r="Q142" s="319"/>
    </row>
    <row r="143" spans="1:17" s="320" customFormat="1" ht="15.75">
      <c r="A143" s="267"/>
      <c r="B143" s="340"/>
      <c r="C143" s="315"/>
      <c r="D143" s="315"/>
      <c r="E143" s="324"/>
      <c r="F143" s="268"/>
      <c r="G143" s="268"/>
      <c r="H143" s="316"/>
      <c r="I143" s="316"/>
      <c r="J143" s="317"/>
      <c r="K143" s="316"/>
      <c r="L143" s="317"/>
      <c r="M143" s="316"/>
      <c r="N143" s="318"/>
      <c r="O143" s="319"/>
      <c r="P143" s="319"/>
      <c r="Q143" s="319"/>
    </row>
    <row r="144" spans="1:17" s="320" customFormat="1" ht="15.75">
      <c r="A144" s="267"/>
      <c r="B144" s="340"/>
      <c r="C144" s="315"/>
      <c r="D144" s="315"/>
      <c r="E144" s="324"/>
      <c r="F144" s="268"/>
      <c r="G144" s="268"/>
      <c r="H144" s="316"/>
      <c r="I144" s="316"/>
      <c r="J144" s="317"/>
      <c r="K144" s="316"/>
      <c r="L144" s="317"/>
      <c r="M144" s="316"/>
      <c r="N144" s="318"/>
      <c r="O144" s="319"/>
      <c r="P144" s="319"/>
      <c r="Q144" s="319"/>
    </row>
    <row r="145" spans="1:17" s="320" customFormat="1" ht="15.75">
      <c r="A145" s="267"/>
      <c r="B145" s="340"/>
      <c r="C145" s="315"/>
      <c r="D145" s="315"/>
      <c r="E145" s="324"/>
      <c r="F145" s="268"/>
      <c r="G145" s="268"/>
      <c r="H145" s="316"/>
      <c r="I145" s="316"/>
      <c r="J145" s="317"/>
      <c r="K145" s="316"/>
      <c r="L145" s="317"/>
      <c r="M145" s="316"/>
      <c r="N145" s="318"/>
      <c r="O145" s="319"/>
      <c r="P145" s="319"/>
      <c r="Q145" s="319"/>
    </row>
    <row r="146" spans="1:17" s="320" customFormat="1" ht="15.75">
      <c r="A146" s="267"/>
      <c r="B146" s="340"/>
      <c r="C146" s="315"/>
      <c r="D146" s="315"/>
      <c r="E146" s="324"/>
      <c r="F146" s="268"/>
      <c r="G146" s="268"/>
      <c r="H146" s="316"/>
      <c r="I146" s="316"/>
      <c r="J146" s="317"/>
      <c r="K146" s="316"/>
      <c r="L146" s="317"/>
      <c r="M146" s="316"/>
      <c r="N146" s="318"/>
      <c r="O146" s="319"/>
      <c r="P146" s="319"/>
      <c r="Q146" s="319"/>
    </row>
    <row r="147" spans="1:17" s="320" customFormat="1" ht="15.75">
      <c r="A147" s="267"/>
      <c r="B147" s="340"/>
      <c r="C147" s="315"/>
      <c r="D147" s="315"/>
      <c r="E147" s="324"/>
      <c r="F147" s="268"/>
      <c r="G147" s="268"/>
      <c r="H147" s="316"/>
      <c r="I147" s="316"/>
      <c r="J147" s="317"/>
      <c r="K147" s="316"/>
      <c r="L147" s="317"/>
      <c r="M147" s="316"/>
      <c r="N147" s="318"/>
      <c r="O147" s="319"/>
      <c r="P147" s="319"/>
      <c r="Q147" s="319"/>
    </row>
    <row r="148" spans="1:17" s="320" customFormat="1" ht="15.75">
      <c r="A148" s="267"/>
      <c r="B148" s="340"/>
      <c r="C148" s="315"/>
      <c r="D148" s="315"/>
      <c r="E148" s="324"/>
      <c r="F148" s="268"/>
      <c r="G148" s="268"/>
      <c r="H148" s="316"/>
      <c r="I148" s="316"/>
      <c r="J148" s="317"/>
      <c r="K148" s="316"/>
      <c r="L148" s="317"/>
      <c r="M148" s="316"/>
      <c r="N148" s="318"/>
      <c r="O148" s="319"/>
      <c r="P148" s="319"/>
      <c r="Q148" s="319"/>
    </row>
    <row r="149" spans="1:17" s="320" customFormat="1" ht="15.75">
      <c r="A149" s="267"/>
      <c r="B149" s="340"/>
      <c r="C149" s="315"/>
      <c r="D149" s="315"/>
      <c r="E149" s="324"/>
      <c r="F149" s="268"/>
      <c r="G149" s="268"/>
      <c r="H149" s="316"/>
      <c r="I149" s="316"/>
      <c r="J149" s="317"/>
      <c r="K149" s="316"/>
      <c r="L149" s="317"/>
      <c r="M149" s="316"/>
      <c r="N149" s="318"/>
      <c r="O149" s="319"/>
      <c r="P149" s="319"/>
      <c r="Q149" s="319"/>
    </row>
    <row r="150" spans="1:17" s="320" customFormat="1" ht="15.75">
      <c r="A150" s="267"/>
      <c r="B150" s="340"/>
      <c r="C150" s="315"/>
      <c r="D150" s="315"/>
      <c r="E150" s="324"/>
      <c r="F150" s="268"/>
      <c r="G150" s="268"/>
      <c r="H150" s="316"/>
      <c r="I150" s="316"/>
      <c r="J150" s="317"/>
      <c r="K150" s="316"/>
      <c r="L150" s="317"/>
      <c r="M150" s="316"/>
      <c r="N150" s="318"/>
      <c r="O150" s="319"/>
      <c r="P150" s="319"/>
      <c r="Q150" s="319"/>
    </row>
    <row r="151" spans="1:17" s="320" customFormat="1" ht="15.75">
      <c r="A151" s="267"/>
      <c r="B151" s="340"/>
      <c r="C151" s="315"/>
      <c r="D151" s="315"/>
      <c r="E151" s="324"/>
      <c r="F151" s="268"/>
      <c r="G151" s="268"/>
      <c r="H151" s="316"/>
      <c r="I151" s="316"/>
      <c r="J151" s="317"/>
      <c r="K151" s="316"/>
      <c r="L151" s="317"/>
      <c r="M151" s="316"/>
      <c r="N151" s="318"/>
      <c r="O151" s="319"/>
      <c r="P151" s="319"/>
      <c r="Q151" s="319"/>
    </row>
    <row r="152" spans="1:17" s="320" customFormat="1" ht="15.75">
      <c r="A152" s="267"/>
      <c r="B152" s="340"/>
      <c r="C152" s="315"/>
      <c r="D152" s="315"/>
      <c r="E152" s="324"/>
      <c r="F152" s="268"/>
      <c r="G152" s="268"/>
      <c r="H152" s="316"/>
      <c r="I152" s="316"/>
      <c r="J152" s="317"/>
      <c r="K152" s="316"/>
      <c r="L152" s="317"/>
      <c r="M152" s="316"/>
      <c r="N152" s="318"/>
      <c r="O152" s="319"/>
      <c r="P152" s="319"/>
      <c r="Q152" s="319"/>
    </row>
    <row r="153" spans="1:17" s="320" customFormat="1" ht="15.75">
      <c r="A153" s="267"/>
      <c r="B153" s="340"/>
      <c r="C153" s="315"/>
      <c r="D153" s="315"/>
      <c r="E153" s="324"/>
      <c r="F153" s="268"/>
      <c r="G153" s="268"/>
      <c r="H153" s="316"/>
      <c r="I153" s="316"/>
      <c r="J153" s="317"/>
      <c r="K153" s="316"/>
      <c r="L153" s="317"/>
      <c r="M153" s="316"/>
      <c r="N153" s="318"/>
      <c r="O153" s="319"/>
      <c r="P153" s="319"/>
      <c r="Q153" s="319"/>
    </row>
    <row r="154" spans="1:17" s="320" customFormat="1" ht="15.75">
      <c r="A154" s="267"/>
      <c r="B154" s="340"/>
      <c r="C154" s="315"/>
      <c r="D154" s="315"/>
      <c r="E154" s="324"/>
      <c r="F154" s="268"/>
      <c r="G154" s="268"/>
      <c r="H154" s="316"/>
      <c r="I154" s="316"/>
      <c r="J154" s="317"/>
      <c r="K154" s="316"/>
      <c r="L154" s="317"/>
      <c r="M154" s="316"/>
      <c r="N154" s="318"/>
      <c r="O154" s="319"/>
      <c r="P154" s="319"/>
      <c r="Q154" s="319"/>
    </row>
    <row r="155" spans="1:17" s="320" customFormat="1" ht="15.75">
      <c r="A155" s="267"/>
      <c r="B155" s="340"/>
      <c r="C155" s="315"/>
      <c r="D155" s="315"/>
      <c r="E155" s="324"/>
      <c r="F155" s="268"/>
      <c r="G155" s="268"/>
      <c r="H155" s="316"/>
      <c r="I155" s="316"/>
      <c r="J155" s="317"/>
      <c r="K155" s="316"/>
      <c r="L155" s="317"/>
      <c r="M155" s="316"/>
      <c r="N155" s="318"/>
      <c r="O155" s="319"/>
      <c r="P155" s="319"/>
      <c r="Q155" s="319"/>
    </row>
    <row r="156" spans="1:17" s="320" customFormat="1" ht="15.75">
      <c r="A156" s="267"/>
      <c r="B156" s="340"/>
      <c r="C156" s="315"/>
      <c r="D156" s="315"/>
      <c r="E156" s="324"/>
      <c r="F156" s="268"/>
      <c r="G156" s="268"/>
      <c r="H156" s="316"/>
      <c r="I156" s="316"/>
      <c r="J156" s="317"/>
      <c r="K156" s="316"/>
      <c r="L156" s="317"/>
      <c r="M156" s="316"/>
      <c r="N156" s="318"/>
      <c r="O156" s="319"/>
      <c r="P156" s="319"/>
      <c r="Q156" s="319"/>
    </row>
    <row r="157" spans="1:17" s="320" customFormat="1" ht="15.75">
      <c r="A157" s="267"/>
      <c r="B157" s="340"/>
      <c r="C157" s="315"/>
      <c r="D157" s="315"/>
      <c r="E157" s="324"/>
      <c r="F157" s="268"/>
      <c r="G157" s="268"/>
      <c r="H157" s="316"/>
      <c r="I157" s="316"/>
      <c r="J157" s="317"/>
      <c r="K157" s="316"/>
      <c r="L157" s="317"/>
      <c r="M157" s="316"/>
      <c r="N157" s="318"/>
      <c r="O157" s="319"/>
      <c r="P157" s="319"/>
      <c r="Q157" s="319"/>
    </row>
    <row r="158" spans="1:17" s="320" customFormat="1" ht="15.75">
      <c r="A158" s="267"/>
      <c r="B158" s="340"/>
      <c r="C158" s="315"/>
      <c r="D158" s="315"/>
      <c r="E158" s="324"/>
      <c r="F158" s="268"/>
      <c r="G158" s="268"/>
      <c r="H158" s="316"/>
      <c r="I158" s="316"/>
      <c r="J158" s="317"/>
      <c r="K158" s="316"/>
      <c r="L158" s="317"/>
      <c r="M158" s="316"/>
      <c r="N158" s="318"/>
      <c r="O158" s="319"/>
      <c r="P158" s="319"/>
      <c r="Q158" s="319"/>
    </row>
    <row r="159" spans="1:17" s="320" customFormat="1" ht="15.75">
      <c r="A159" s="267"/>
      <c r="B159" s="340"/>
      <c r="C159" s="315"/>
      <c r="D159" s="315"/>
      <c r="E159" s="324"/>
      <c r="F159" s="268"/>
      <c r="G159" s="268"/>
      <c r="H159" s="316"/>
      <c r="I159" s="316"/>
      <c r="J159" s="317"/>
      <c r="K159" s="316"/>
      <c r="L159" s="317"/>
      <c r="M159" s="316"/>
      <c r="N159" s="318"/>
      <c r="O159" s="319"/>
      <c r="P159" s="319"/>
      <c r="Q159" s="319"/>
    </row>
    <row r="160" spans="1:17" s="320" customFormat="1" ht="15.75">
      <c r="A160" s="267"/>
      <c r="B160" s="340"/>
      <c r="C160" s="315"/>
      <c r="D160" s="315"/>
      <c r="E160" s="324"/>
      <c r="F160" s="268"/>
      <c r="G160" s="268"/>
      <c r="H160" s="316"/>
      <c r="I160" s="316"/>
      <c r="J160" s="317"/>
      <c r="K160" s="316"/>
      <c r="L160" s="317"/>
      <c r="M160" s="316"/>
      <c r="N160" s="318"/>
      <c r="O160" s="319"/>
      <c r="P160" s="319"/>
      <c r="Q160" s="319"/>
    </row>
    <row r="161" spans="1:17" s="320" customFormat="1" ht="15.75">
      <c r="A161" s="267"/>
      <c r="B161" s="340"/>
      <c r="C161" s="315"/>
      <c r="D161" s="315"/>
      <c r="E161" s="324"/>
      <c r="F161" s="268"/>
      <c r="G161" s="268"/>
      <c r="H161" s="316"/>
      <c r="I161" s="316"/>
      <c r="J161" s="317"/>
      <c r="K161" s="316"/>
      <c r="L161" s="317"/>
      <c r="M161" s="316"/>
      <c r="N161" s="318"/>
      <c r="O161" s="319"/>
      <c r="P161" s="319"/>
      <c r="Q161" s="319"/>
    </row>
    <row r="162" spans="1:17" s="320" customFormat="1" ht="15.75">
      <c r="A162" s="267"/>
      <c r="B162" s="340"/>
      <c r="C162" s="315"/>
      <c r="D162" s="315"/>
      <c r="E162" s="324"/>
      <c r="F162" s="268"/>
      <c r="G162" s="268"/>
      <c r="H162" s="316"/>
      <c r="I162" s="316"/>
      <c r="J162" s="317"/>
      <c r="K162" s="316"/>
      <c r="L162" s="317"/>
      <c r="M162" s="316"/>
      <c r="N162" s="318"/>
      <c r="O162" s="319"/>
      <c r="P162" s="319"/>
      <c r="Q162" s="319"/>
    </row>
    <row r="163" spans="1:17" s="320" customFormat="1" ht="15.75">
      <c r="A163" s="267"/>
      <c r="B163" s="340"/>
      <c r="C163" s="315"/>
      <c r="D163" s="315"/>
      <c r="E163" s="324"/>
      <c r="F163" s="268"/>
      <c r="G163" s="268"/>
      <c r="H163" s="316"/>
      <c r="I163" s="316"/>
      <c r="J163" s="317"/>
      <c r="K163" s="316"/>
      <c r="L163" s="317"/>
      <c r="M163" s="316"/>
      <c r="N163" s="318"/>
      <c r="O163" s="319"/>
      <c r="P163" s="319"/>
      <c r="Q163" s="319"/>
    </row>
    <row r="164" spans="1:17" s="320" customFormat="1" ht="15.75">
      <c r="A164" s="267"/>
      <c r="B164" s="340"/>
      <c r="C164" s="315"/>
      <c r="D164" s="315"/>
      <c r="E164" s="324"/>
      <c r="F164" s="268"/>
      <c r="G164" s="268"/>
      <c r="H164" s="316"/>
      <c r="I164" s="316"/>
      <c r="J164" s="317"/>
      <c r="K164" s="316"/>
      <c r="L164" s="317"/>
      <c r="M164" s="316"/>
      <c r="N164" s="318"/>
      <c r="O164" s="319"/>
      <c r="P164" s="319"/>
      <c r="Q164" s="319"/>
    </row>
    <row r="165" spans="1:17" s="320" customFormat="1" ht="15.75">
      <c r="A165" s="267"/>
      <c r="B165" s="340"/>
      <c r="C165" s="315"/>
      <c r="D165" s="315"/>
      <c r="E165" s="324"/>
      <c r="F165" s="268"/>
      <c r="G165" s="268"/>
      <c r="H165" s="316"/>
      <c r="I165" s="316"/>
      <c r="J165" s="317"/>
      <c r="K165" s="316"/>
      <c r="L165" s="317"/>
      <c r="M165" s="316"/>
      <c r="N165" s="318"/>
      <c r="O165" s="319"/>
      <c r="P165" s="319"/>
      <c r="Q165" s="319"/>
    </row>
    <row r="166" spans="1:17" s="320" customFormat="1" ht="15.75">
      <c r="A166" s="267"/>
      <c r="B166" s="340"/>
      <c r="C166" s="315"/>
      <c r="D166" s="315"/>
      <c r="E166" s="324"/>
      <c r="F166" s="268"/>
      <c r="G166" s="268"/>
      <c r="H166" s="316"/>
      <c r="I166" s="316"/>
      <c r="J166" s="317"/>
      <c r="K166" s="316"/>
      <c r="L166" s="317"/>
      <c r="M166" s="316"/>
      <c r="N166" s="318"/>
      <c r="O166" s="319"/>
      <c r="P166" s="319"/>
      <c r="Q166" s="319"/>
    </row>
    <row r="167" spans="1:17" s="320" customFormat="1" ht="15.75">
      <c r="A167" s="267"/>
      <c r="B167" s="340"/>
      <c r="C167" s="315"/>
      <c r="D167" s="315"/>
      <c r="E167" s="324"/>
      <c r="F167" s="268"/>
      <c r="G167" s="268"/>
      <c r="H167" s="316"/>
      <c r="I167" s="316"/>
      <c r="J167" s="317"/>
      <c r="K167" s="316"/>
      <c r="L167" s="317"/>
      <c r="M167" s="316"/>
      <c r="N167" s="318"/>
      <c r="O167" s="319"/>
      <c r="P167" s="319"/>
      <c r="Q167" s="319"/>
    </row>
    <row r="168" spans="1:17" s="320" customFormat="1" ht="15.75">
      <c r="A168" s="267"/>
      <c r="B168" s="340"/>
      <c r="C168" s="315"/>
      <c r="D168" s="315"/>
      <c r="E168" s="324"/>
      <c r="F168" s="268"/>
      <c r="G168" s="268"/>
      <c r="H168" s="316"/>
      <c r="I168" s="316"/>
      <c r="J168" s="317"/>
      <c r="K168" s="316"/>
      <c r="L168" s="317"/>
      <c r="M168" s="316"/>
      <c r="N168" s="318"/>
      <c r="O168" s="319"/>
      <c r="P168" s="319"/>
      <c r="Q168" s="319"/>
    </row>
    <row r="169" spans="1:17" s="320" customFormat="1" ht="15.75">
      <c r="A169" s="267"/>
      <c r="B169" s="340"/>
      <c r="C169" s="315"/>
      <c r="D169" s="315"/>
      <c r="E169" s="324"/>
      <c r="F169" s="268"/>
      <c r="G169" s="268"/>
      <c r="H169" s="316"/>
      <c r="I169" s="316"/>
      <c r="J169" s="317"/>
      <c r="K169" s="316"/>
      <c r="L169" s="317"/>
      <c r="M169" s="316"/>
      <c r="N169" s="318"/>
      <c r="O169" s="319"/>
      <c r="P169" s="319"/>
      <c r="Q169" s="319"/>
    </row>
    <row r="170" spans="1:17" s="320" customFormat="1" ht="15.75">
      <c r="A170" s="267"/>
      <c r="B170" s="340"/>
      <c r="C170" s="315"/>
      <c r="D170" s="315"/>
      <c r="E170" s="324"/>
      <c r="F170" s="268"/>
      <c r="G170" s="268"/>
      <c r="H170" s="316"/>
      <c r="I170" s="316"/>
      <c r="J170" s="317"/>
      <c r="K170" s="316"/>
      <c r="L170" s="317"/>
      <c r="M170" s="316"/>
      <c r="N170" s="318"/>
      <c r="O170" s="319"/>
      <c r="P170" s="319"/>
      <c r="Q170" s="319"/>
    </row>
    <row r="171" spans="1:17" s="320" customFormat="1" ht="15.75">
      <c r="A171" s="267"/>
      <c r="B171" s="340"/>
      <c r="C171" s="315"/>
      <c r="D171" s="315"/>
      <c r="E171" s="324"/>
      <c r="F171" s="268"/>
      <c r="G171" s="268"/>
      <c r="H171" s="316"/>
      <c r="I171" s="316"/>
      <c r="J171" s="317"/>
      <c r="K171" s="316"/>
      <c r="L171" s="317"/>
      <c r="M171" s="316"/>
      <c r="N171" s="318"/>
      <c r="O171" s="319"/>
      <c r="P171" s="319"/>
      <c r="Q171" s="319"/>
    </row>
    <row r="172" spans="1:17" s="320" customFormat="1" ht="15.75">
      <c r="A172" s="267"/>
      <c r="B172" s="340"/>
      <c r="C172" s="315"/>
      <c r="D172" s="315"/>
      <c r="E172" s="324"/>
      <c r="F172" s="268"/>
      <c r="G172" s="268"/>
      <c r="H172" s="316"/>
      <c r="I172" s="316"/>
      <c r="J172" s="317"/>
      <c r="K172" s="316"/>
      <c r="L172" s="317"/>
      <c r="M172" s="316"/>
      <c r="N172" s="318"/>
      <c r="O172" s="319"/>
      <c r="P172" s="319"/>
      <c r="Q172" s="319"/>
    </row>
    <row r="173" spans="1:17" s="320" customFormat="1" ht="15.75">
      <c r="A173" s="267"/>
      <c r="B173" s="340"/>
      <c r="C173" s="315"/>
      <c r="D173" s="315"/>
      <c r="E173" s="324"/>
      <c r="F173" s="268"/>
      <c r="G173" s="268"/>
      <c r="H173" s="316"/>
      <c r="I173" s="316"/>
      <c r="J173" s="317"/>
      <c r="K173" s="316"/>
      <c r="L173" s="317"/>
      <c r="M173" s="316"/>
      <c r="N173" s="318"/>
      <c r="O173" s="319"/>
      <c r="P173" s="319"/>
      <c r="Q173" s="319"/>
    </row>
    <row r="174" spans="1:17" s="320" customFormat="1" ht="15.75">
      <c r="A174" s="267"/>
      <c r="B174" s="340"/>
      <c r="C174" s="315"/>
      <c r="D174" s="315"/>
      <c r="E174" s="324"/>
      <c r="F174" s="268"/>
      <c r="G174" s="268"/>
      <c r="H174" s="316"/>
      <c r="I174" s="316"/>
      <c r="J174" s="317"/>
      <c r="K174" s="316"/>
      <c r="L174" s="317"/>
      <c r="M174" s="316"/>
      <c r="N174" s="318"/>
      <c r="O174" s="319"/>
      <c r="P174" s="319"/>
      <c r="Q174" s="319"/>
    </row>
    <row r="175" spans="1:17" s="320" customFormat="1" ht="15.75">
      <c r="A175" s="267"/>
      <c r="B175" s="340"/>
      <c r="C175" s="315"/>
      <c r="D175" s="315"/>
      <c r="E175" s="324"/>
      <c r="F175" s="268"/>
      <c r="G175" s="268"/>
      <c r="H175" s="316"/>
      <c r="I175" s="316"/>
      <c r="J175" s="317"/>
      <c r="K175" s="316"/>
      <c r="L175" s="317"/>
      <c r="M175" s="316"/>
      <c r="N175" s="318"/>
      <c r="O175" s="319"/>
      <c r="P175" s="319"/>
      <c r="Q175" s="319"/>
    </row>
    <row r="176" spans="1:17" s="320" customFormat="1" ht="15.75">
      <c r="A176" s="267"/>
      <c r="B176" s="340"/>
      <c r="C176" s="315"/>
      <c r="D176" s="315"/>
      <c r="E176" s="324"/>
      <c r="F176" s="268"/>
      <c r="G176" s="268"/>
      <c r="H176" s="316"/>
      <c r="I176" s="316"/>
      <c r="J176" s="317"/>
      <c r="K176" s="316"/>
      <c r="L176" s="317"/>
      <c r="M176" s="316"/>
      <c r="N176" s="318"/>
      <c r="O176" s="319"/>
      <c r="P176" s="319"/>
      <c r="Q176" s="319"/>
    </row>
    <row r="177" spans="1:17" s="320" customFormat="1" ht="15.75">
      <c r="A177" s="267"/>
      <c r="B177" s="340"/>
      <c r="C177" s="315"/>
      <c r="D177" s="315"/>
      <c r="E177" s="324"/>
      <c r="F177" s="268"/>
      <c r="G177" s="268"/>
      <c r="H177" s="316"/>
      <c r="I177" s="316"/>
      <c r="J177" s="317"/>
      <c r="K177" s="316"/>
      <c r="L177" s="317"/>
      <c r="M177" s="316"/>
      <c r="N177" s="318"/>
      <c r="O177" s="319"/>
      <c r="P177" s="319"/>
      <c r="Q177" s="319"/>
    </row>
    <row r="178" spans="1:17" s="320" customFormat="1" ht="15.75">
      <c r="A178" s="267"/>
      <c r="B178" s="340"/>
      <c r="C178" s="315"/>
      <c r="D178" s="315"/>
      <c r="E178" s="324"/>
      <c r="F178" s="268"/>
      <c r="G178" s="268"/>
      <c r="H178" s="316"/>
      <c r="I178" s="316"/>
      <c r="J178" s="317"/>
      <c r="K178" s="316"/>
      <c r="L178" s="317"/>
      <c r="M178" s="316"/>
      <c r="N178" s="318"/>
      <c r="O178" s="319"/>
      <c r="P178" s="319"/>
      <c r="Q178" s="319"/>
    </row>
    <row r="179" spans="1:17" s="320" customFormat="1" ht="15.75">
      <c r="A179" s="267"/>
      <c r="B179" s="340"/>
      <c r="C179" s="315"/>
      <c r="D179" s="315"/>
      <c r="E179" s="324"/>
      <c r="F179" s="268"/>
      <c r="G179" s="268"/>
      <c r="H179" s="316"/>
      <c r="I179" s="316"/>
      <c r="J179" s="317"/>
      <c r="K179" s="316"/>
      <c r="L179" s="317"/>
      <c r="M179" s="316"/>
      <c r="N179" s="318"/>
      <c r="O179" s="319"/>
      <c r="P179" s="319"/>
      <c r="Q179" s="319"/>
    </row>
    <row r="180" spans="1:17" s="320" customFormat="1" ht="15.75">
      <c r="A180" s="267"/>
      <c r="B180" s="340"/>
      <c r="C180" s="315"/>
      <c r="D180" s="315"/>
      <c r="E180" s="324"/>
      <c r="F180" s="268"/>
      <c r="G180" s="268"/>
      <c r="H180" s="316"/>
      <c r="I180" s="316"/>
      <c r="J180" s="317"/>
      <c r="K180" s="316"/>
      <c r="L180" s="317"/>
      <c r="M180" s="316"/>
      <c r="N180" s="318"/>
      <c r="O180" s="319"/>
      <c r="P180" s="319"/>
      <c r="Q180" s="319"/>
    </row>
    <row r="181" spans="1:17" s="320" customFormat="1" ht="15.75">
      <c r="A181" s="267"/>
      <c r="B181" s="340"/>
      <c r="C181" s="315"/>
      <c r="D181" s="315"/>
      <c r="E181" s="324"/>
      <c r="F181" s="268"/>
      <c r="G181" s="268"/>
      <c r="H181" s="316"/>
      <c r="I181" s="316"/>
      <c r="J181" s="317"/>
      <c r="K181" s="316"/>
      <c r="L181" s="317"/>
      <c r="M181" s="316"/>
      <c r="N181" s="318"/>
      <c r="O181" s="319"/>
      <c r="P181" s="319"/>
      <c r="Q181" s="319"/>
    </row>
    <row r="182" spans="1:17" s="320" customFormat="1" ht="15.75">
      <c r="A182" s="267"/>
      <c r="B182" s="340"/>
      <c r="C182" s="315"/>
      <c r="D182" s="315"/>
      <c r="E182" s="324"/>
      <c r="F182" s="268"/>
      <c r="G182" s="268"/>
      <c r="H182" s="316"/>
      <c r="I182" s="316"/>
      <c r="J182" s="317"/>
      <c r="K182" s="316"/>
      <c r="L182" s="317"/>
      <c r="M182" s="316"/>
      <c r="N182" s="318"/>
      <c r="O182" s="319"/>
      <c r="P182" s="319"/>
      <c r="Q182" s="319"/>
    </row>
    <row r="183" spans="1:17" s="320" customFormat="1" ht="15.75">
      <c r="A183" s="267"/>
      <c r="B183" s="340"/>
      <c r="C183" s="315"/>
      <c r="D183" s="315"/>
      <c r="E183" s="324"/>
      <c r="F183" s="268"/>
      <c r="G183" s="268"/>
      <c r="H183" s="316"/>
      <c r="I183" s="316"/>
      <c r="J183" s="317"/>
      <c r="K183" s="316"/>
      <c r="L183" s="317"/>
      <c r="M183" s="316"/>
      <c r="N183" s="318"/>
      <c r="O183" s="319"/>
      <c r="P183" s="319"/>
      <c r="Q183" s="319"/>
    </row>
    <row r="184" spans="1:17" s="320" customFormat="1" ht="15.75">
      <c r="A184" s="267"/>
      <c r="B184" s="340"/>
      <c r="C184" s="315"/>
      <c r="D184" s="315"/>
      <c r="E184" s="324"/>
      <c r="F184" s="268"/>
      <c r="G184" s="268"/>
      <c r="H184" s="316"/>
      <c r="I184" s="316"/>
      <c r="J184" s="317"/>
      <c r="K184" s="316"/>
      <c r="L184" s="317"/>
      <c r="M184" s="316"/>
      <c r="N184" s="318"/>
      <c r="O184" s="319"/>
      <c r="P184" s="319"/>
      <c r="Q184" s="319"/>
    </row>
    <row r="185" spans="1:17" s="320" customFormat="1" ht="15.75">
      <c r="A185" s="267"/>
      <c r="B185" s="340"/>
      <c r="C185" s="315"/>
      <c r="D185" s="315"/>
      <c r="E185" s="324"/>
      <c r="F185" s="268"/>
      <c r="G185" s="268"/>
      <c r="H185" s="316"/>
      <c r="I185" s="316"/>
      <c r="J185" s="317"/>
      <c r="K185" s="316"/>
      <c r="L185" s="317"/>
      <c r="M185" s="316"/>
      <c r="N185" s="318"/>
      <c r="O185" s="319"/>
      <c r="P185" s="319"/>
      <c r="Q185" s="319"/>
    </row>
    <row r="186" spans="1:17" s="320" customFormat="1" ht="15.75">
      <c r="A186" s="267"/>
      <c r="B186" s="340"/>
      <c r="C186" s="315"/>
      <c r="D186" s="315"/>
      <c r="E186" s="324"/>
      <c r="F186" s="268"/>
      <c r="G186" s="268"/>
      <c r="H186" s="316"/>
      <c r="I186" s="316"/>
      <c r="J186" s="317"/>
      <c r="K186" s="316"/>
      <c r="L186" s="317"/>
      <c r="M186" s="316"/>
      <c r="N186" s="318"/>
      <c r="O186" s="319"/>
      <c r="P186" s="319"/>
      <c r="Q186" s="319"/>
    </row>
    <row r="187" spans="1:17" s="320" customFormat="1" ht="15.75">
      <c r="A187" s="267"/>
      <c r="B187" s="340"/>
      <c r="C187" s="315"/>
      <c r="D187" s="315"/>
      <c r="E187" s="324"/>
      <c r="F187" s="268"/>
      <c r="G187" s="268"/>
      <c r="H187" s="316"/>
      <c r="I187" s="316"/>
      <c r="J187" s="317"/>
      <c r="K187" s="316"/>
      <c r="L187" s="317"/>
      <c r="M187" s="316"/>
      <c r="N187" s="318"/>
      <c r="O187" s="319"/>
      <c r="P187" s="319"/>
      <c r="Q187" s="319"/>
    </row>
    <row r="188" spans="1:17" s="320" customFormat="1" ht="15.75">
      <c r="A188" s="267"/>
      <c r="B188" s="340"/>
      <c r="C188" s="315"/>
      <c r="D188" s="315"/>
      <c r="E188" s="324"/>
      <c r="F188" s="268"/>
      <c r="G188" s="268"/>
      <c r="H188" s="316"/>
      <c r="I188" s="316"/>
      <c r="J188" s="317"/>
      <c r="K188" s="316"/>
      <c r="L188" s="317"/>
      <c r="M188" s="316"/>
      <c r="N188" s="318"/>
      <c r="O188" s="319"/>
      <c r="P188" s="319"/>
      <c r="Q188" s="319"/>
    </row>
    <row r="189" spans="1:17" s="320" customFormat="1" ht="15.75">
      <c r="A189" s="267"/>
      <c r="B189" s="340"/>
      <c r="C189" s="315"/>
      <c r="D189" s="315"/>
      <c r="E189" s="324"/>
      <c r="F189" s="268"/>
      <c r="G189" s="268"/>
      <c r="H189" s="316"/>
      <c r="I189" s="316"/>
      <c r="J189" s="317"/>
      <c r="K189" s="316"/>
      <c r="L189" s="317"/>
      <c r="M189" s="316"/>
      <c r="N189" s="318"/>
      <c r="O189" s="319"/>
      <c r="P189" s="319"/>
      <c r="Q189" s="319"/>
    </row>
    <row r="190" spans="1:17" s="320" customFormat="1" ht="15.75">
      <c r="A190" s="267"/>
      <c r="B190" s="340"/>
      <c r="C190" s="315"/>
      <c r="D190" s="315"/>
      <c r="E190" s="324"/>
      <c r="F190" s="268"/>
      <c r="G190" s="268"/>
      <c r="H190" s="316"/>
      <c r="I190" s="316"/>
      <c r="J190" s="317"/>
      <c r="K190" s="316"/>
      <c r="L190" s="317"/>
      <c r="M190" s="316"/>
      <c r="N190" s="318"/>
      <c r="O190" s="319"/>
      <c r="P190" s="319"/>
      <c r="Q190" s="319"/>
    </row>
    <row r="191" spans="1:17" s="320" customFormat="1" ht="15.75">
      <c r="A191" s="267"/>
      <c r="B191" s="340"/>
      <c r="C191" s="315"/>
      <c r="D191" s="315"/>
      <c r="E191" s="324"/>
      <c r="F191" s="268"/>
      <c r="G191" s="268"/>
      <c r="H191" s="316"/>
      <c r="I191" s="316"/>
      <c r="J191" s="317"/>
      <c r="K191" s="316"/>
      <c r="L191" s="317"/>
      <c r="M191" s="316"/>
      <c r="N191" s="318"/>
      <c r="O191" s="319"/>
      <c r="P191" s="319"/>
      <c r="Q191" s="319"/>
    </row>
    <row r="192" spans="1:17" s="320" customFormat="1" ht="15.75">
      <c r="A192" s="313"/>
      <c r="B192" s="341"/>
      <c r="C192" s="319"/>
      <c r="D192" s="319"/>
      <c r="E192" s="333"/>
      <c r="F192" s="292"/>
      <c r="G192" s="292"/>
      <c r="H192" s="318"/>
      <c r="I192" s="318"/>
      <c r="J192" s="321"/>
      <c r="K192" s="318"/>
      <c r="L192" s="321"/>
      <c r="M192" s="318"/>
      <c r="N192" s="318"/>
      <c r="O192" s="319"/>
      <c r="P192" s="319"/>
      <c r="Q192" s="319"/>
    </row>
    <row r="193" spans="1:17" s="320" customFormat="1" ht="15.75">
      <c r="A193" s="313"/>
      <c r="B193" s="341"/>
      <c r="C193" s="319"/>
      <c r="D193" s="319"/>
      <c r="E193" s="333"/>
      <c r="F193" s="292"/>
      <c r="G193" s="292"/>
      <c r="H193" s="318"/>
      <c r="I193" s="318"/>
      <c r="J193" s="321"/>
      <c r="K193" s="318"/>
      <c r="L193" s="321"/>
      <c r="M193" s="318"/>
      <c r="N193" s="318"/>
      <c r="O193" s="319"/>
      <c r="P193" s="319"/>
      <c r="Q193" s="319"/>
    </row>
    <row r="194" spans="1:17" s="320" customFormat="1" ht="15.75">
      <c r="A194" s="313"/>
      <c r="B194" s="341"/>
      <c r="C194" s="319"/>
      <c r="D194" s="319"/>
      <c r="E194" s="333"/>
      <c r="F194" s="292"/>
      <c r="G194" s="292"/>
      <c r="H194" s="318"/>
      <c r="I194" s="318"/>
      <c r="J194" s="321"/>
      <c r="K194" s="318"/>
      <c r="L194" s="321"/>
      <c r="M194" s="318"/>
      <c r="N194" s="318"/>
      <c r="O194" s="319"/>
      <c r="P194" s="319"/>
      <c r="Q194" s="319"/>
    </row>
    <row r="195" spans="1:17" s="320" customFormat="1" ht="15.75">
      <c r="A195" s="313"/>
      <c r="B195" s="341"/>
      <c r="C195" s="319"/>
      <c r="D195" s="319"/>
      <c r="E195" s="333"/>
      <c r="F195" s="292"/>
      <c r="G195" s="292"/>
      <c r="H195" s="318"/>
      <c r="I195" s="318"/>
      <c r="J195" s="321"/>
      <c r="K195" s="318"/>
      <c r="L195" s="321"/>
      <c r="M195" s="318"/>
      <c r="N195" s="318"/>
      <c r="O195" s="319"/>
      <c r="P195" s="319"/>
      <c r="Q195" s="319"/>
    </row>
    <row r="239" spans="1:14" ht="15.75">
      <c r="A239" s="319"/>
      <c r="B239" s="333"/>
      <c r="C239" s="322"/>
      <c r="D239" s="322"/>
      <c r="H239" s="292"/>
      <c r="I239" s="292"/>
      <c r="J239" s="298"/>
      <c r="K239" s="292"/>
      <c r="L239" s="298"/>
      <c r="M239" s="292"/>
      <c r="N239" s="292"/>
    </row>
    <row r="240" spans="1:14" ht="15.75">
      <c r="A240" s="319"/>
      <c r="B240" s="333"/>
      <c r="C240" s="322"/>
      <c r="D240" s="322"/>
      <c r="H240" s="292"/>
      <c r="I240" s="292"/>
      <c r="J240" s="298"/>
      <c r="K240" s="292"/>
      <c r="L240" s="298"/>
      <c r="M240" s="292"/>
      <c r="N240" s="292"/>
    </row>
    <row r="241" spans="1:14" ht="15.75">
      <c r="A241" s="319"/>
      <c r="B241" s="333"/>
      <c r="C241" s="322"/>
      <c r="D241" s="322"/>
      <c r="H241" s="292"/>
      <c r="I241" s="292"/>
      <c r="J241" s="298"/>
      <c r="K241" s="292"/>
      <c r="L241" s="298"/>
      <c r="M241" s="292"/>
      <c r="N241" s="292"/>
    </row>
    <row r="242" spans="1:14" ht="15.75">
      <c r="A242" s="319"/>
      <c r="B242" s="333"/>
      <c r="C242" s="322"/>
      <c r="D242" s="322"/>
      <c r="H242" s="292"/>
      <c r="I242" s="292"/>
      <c r="J242" s="298"/>
      <c r="K242" s="292"/>
      <c r="L242" s="298"/>
      <c r="M242" s="292"/>
      <c r="N242" s="292"/>
    </row>
    <row r="243" spans="1:14" ht="15.75">
      <c r="A243" s="319"/>
      <c r="B243" s="333"/>
      <c r="C243" s="322"/>
      <c r="D243" s="322"/>
      <c r="H243" s="292"/>
      <c r="I243" s="292"/>
      <c r="J243" s="298"/>
      <c r="K243" s="292"/>
      <c r="L243" s="298"/>
      <c r="M243" s="292"/>
      <c r="N243" s="292"/>
    </row>
    <row r="244" spans="1:14" ht="15.75">
      <c r="A244" s="319"/>
      <c r="B244" s="333"/>
      <c r="C244" s="322"/>
      <c r="D244" s="322"/>
      <c r="H244" s="292"/>
      <c r="I244" s="292"/>
      <c r="J244" s="298"/>
      <c r="K244" s="292"/>
      <c r="L244" s="298"/>
      <c r="M244" s="292"/>
      <c r="N244" s="292"/>
    </row>
    <row r="245" spans="1:14" ht="15.75">
      <c r="A245" s="319"/>
      <c r="B245" s="333"/>
      <c r="C245" s="322"/>
      <c r="D245" s="322"/>
      <c r="H245" s="292"/>
      <c r="I245" s="292"/>
      <c r="J245" s="298"/>
      <c r="K245" s="292"/>
      <c r="L245" s="298"/>
      <c r="M245" s="292"/>
      <c r="N245" s="292"/>
    </row>
    <row r="246" spans="1:14" ht="15.75">
      <c r="A246" s="319"/>
      <c r="B246" s="333"/>
      <c r="C246" s="322"/>
      <c r="D246" s="322"/>
      <c r="H246" s="292"/>
      <c r="I246" s="292"/>
      <c r="J246" s="298"/>
      <c r="K246" s="292"/>
      <c r="L246" s="298"/>
      <c r="M246" s="292"/>
      <c r="N246" s="292"/>
    </row>
    <row r="247" spans="1:14" ht="15.75">
      <c r="A247" s="319"/>
      <c r="B247" s="333"/>
      <c r="C247" s="322"/>
      <c r="D247" s="322"/>
      <c r="H247" s="292"/>
      <c r="I247" s="292"/>
      <c r="J247" s="298"/>
      <c r="K247" s="292"/>
      <c r="L247" s="298"/>
      <c r="M247" s="292"/>
      <c r="N247" s="292"/>
    </row>
    <row r="248" spans="1:14" ht="15.75">
      <c r="A248" s="319"/>
      <c r="B248" s="333"/>
      <c r="C248" s="322"/>
      <c r="D248" s="322"/>
      <c r="H248" s="292"/>
      <c r="I248" s="292"/>
      <c r="J248" s="298"/>
      <c r="K248" s="292"/>
      <c r="L248" s="298"/>
      <c r="M248" s="292"/>
      <c r="N248" s="292"/>
    </row>
    <row r="249" spans="1:14" ht="15.75">
      <c r="A249" s="319"/>
      <c r="B249" s="333"/>
      <c r="C249" s="322"/>
      <c r="D249" s="322"/>
      <c r="H249" s="292"/>
      <c r="I249" s="292"/>
      <c r="J249" s="298"/>
      <c r="K249" s="292"/>
      <c r="L249" s="298"/>
      <c r="M249" s="292"/>
      <c r="N249" s="292"/>
    </row>
    <row r="250" spans="1:14" ht="15.75">
      <c r="A250" s="319"/>
      <c r="B250" s="333"/>
      <c r="C250" s="322"/>
      <c r="D250" s="322"/>
      <c r="H250" s="292"/>
      <c r="I250" s="292"/>
      <c r="J250" s="298"/>
      <c r="K250" s="292"/>
      <c r="L250" s="298"/>
      <c r="M250" s="292"/>
      <c r="N250" s="292"/>
    </row>
    <row r="251" spans="1:14" ht="15.75">
      <c r="A251" s="319"/>
      <c r="B251" s="333"/>
      <c r="C251" s="322"/>
      <c r="D251" s="322"/>
      <c r="H251" s="292"/>
      <c r="I251" s="292"/>
      <c r="J251" s="298"/>
      <c r="K251" s="292"/>
      <c r="L251" s="298"/>
      <c r="M251" s="292"/>
      <c r="N251" s="292"/>
    </row>
    <row r="252" spans="1:14" ht="15.75">
      <c r="A252" s="319"/>
      <c r="B252" s="333"/>
      <c r="C252" s="322"/>
      <c r="D252" s="322"/>
      <c r="H252" s="292"/>
      <c r="I252" s="292"/>
      <c r="J252" s="298"/>
      <c r="K252" s="292"/>
      <c r="L252" s="298"/>
      <c r="M252" s="292"/>
      <c r="N252" s="292"/>
    </row>
    <row r="253" spans="1:14" ht="15.75">
      <c r="A253" s="319"/>
      <c r="B253" s="333"/>
      <c r="C253" s="322"/>
      <c r="D253" s="322"/>
      <c r="H253" s="292"/>
      <c r="I253" s="292"/>
      <c r="J253" s="298"/>
      <c r="K253" s="292"/>
      <c r="L253" s="298"/>
      <c r="M253" s="292"/>
      <c r="N253" s="292"/>
    </row>
    <row r="254" spans="1:14" ht="15.75">
      <c r="A254" s="319"/>
      <c r="B254" s="333"/>
      <c r="C254" s="322"/>
      <c r="D254" s="322"/>
      <c r="H254" s="292"/>
      <c r="I254" s="292"/>
      <c r="J254" s="298"/>
      <c r="K254" s="292"/>
      <c r="L254" s="298"/>
      <c r="M254" s="292"/>
      <c r="N254" s="292"/>
    </row>
    <row r="255" spans="1:14" ht="15.75">
      <c r="A255" s="319"/>
      <c r="B255" s="333"/>
      <c r="C255" s="322"/>
      <c r="D255" s="322"/>
      <c r="H255" s="292"/>
      <c r="I255" s="292"/>
      <c r="J255" s="298"/>
      <c r="K255" s="292"/>
      <c r="L255" s="298"/>
      <c r="M255" s="292"/>
      <c r="N255" s="292"/>
    </row>
    <row r="256" spans="1:14" ht="15.75">
      <c r="A256" s="319"/>
      <c r="B256" s="333"/>
      <c r="C256" s="322"/>
      <c r="D256" s="322"/>
      <c r="H256" s="292"/>
      <c r="I256" s="292"/>
      <c r="J256" s="298"/>
      <c r="K256" s="292"/>
      <c r="L256" s="298"/>
      <c r="M256" s="292"/>
      <c r="N256" s="292"/>
    </row>
    <row r="257" spans="1:14" ht="15.75">
      <c r="A257" s="319"/>
      <c r="B257" s="333"/>
      <c r="C257" s="322"/>
      <c r="D257" s="322"/>
      <c r="H257" s="292"/>
      <c r="I257" s="292"/>
      <c r="J257" s="298"/>
      <c r="K257" s="292"/>
      <c r="L257" s="298"/>
      <c r="M257" s="292"/>
      <c r="N257" s="292"/>
    </row>
    <row r="258" spans="1:14" ht="15.75">
      <c r="A258" s="319"/>
      <c r="B258" s="333"/>
      <c r="C258" s="322"/>
      <c r="D258" s="322"/>
      <c r="H258" s="292"/>
      <c r="I258" s="292"/>
      <c r="J258" s="298"/>
      <c r="K258" s="292"/>
      <c r="L258" s="298"/>
      <c r="M258" s="292"/>
      <c r="N258" s="292"/>
    </row>
    <row r="259" spans="1:14" ht="15.75">
      <c r="A259" s="319"/>
      <c r="B259" s="333"/>
      <c r="C259" s="322"/>
      <c r="D259" s="322"/>
      <c r="H259" s="292"/>
      <c r="I259" s="292"/>
      <c r="J259" s="298"/>
      <c r="K259" s="292"/>
      <c r="L259" s="298"/>
      <c r="M259" s="292"/>
      <c r="N259" s="292"/>
    </row>
    <row r="260" spans="1:14" ht="15.75">
      <c r="A260" s="319"/>
      <c r="B260" s="333"/>
      <c r="C260" s="322"/>
      <c r="D260" s="322"/>
      <c r="H260" s="292"/>
      <c r="I260" s="292"/>
      <c r="J260" s="298"/>
      <c r="K260" s="292"/>
      <c r="L260" s="298"/>
      <c r="M260" s="292"/>
      <c r="N260" s="292"/>
    </row>
    <row r="261" spans="1:14" ht="15.75">
      <c r="A261" s="319"/>
      <c r="B261" s="333"/>
      <c r="C261" s="322"/>
      <c r="D261" s="322"/>
      <c r="H261" s="292"/>
      <c r="I261" s="292"/>
      <c r="J261" s="298"/>
      <c r="K261" s="292"/>
      <c r="L261" s="298"/>
      <c r="M261" s="292"/>
      <c r="N261" s="292"/>
    </row>
    <row r="262" spans="1:14" ht="15.75">
      <c r="A262" s="319"/>
      <c r="B262" s="333"/>
      <c r="C262" s="322"/>
      <c r="D262" s="322"/>
      <c r="H262" s="292"/>
      <c r="I262" s="292"/>
      <c r="J262" s="298"/>
      <c r="K262" s="292"/>
      <c r="L262" s="298"/>
      <c r="M262" s="292"/>
      <c r="N262" s="292"/>
    </row>
    <row r="263" spans="1:14" ht="15.75">
      <c r="A263" s="319"/>
      <c r="B263" s="333"/>
      <c r="C263" s="322"/>
      <c r="D263" s="322"/>
      <c r="H263" s="292"/>
      <c r="I263" s="292"/>
      <c r="J263" s="298"/>
      <c r="K263" s="292"/>
      <c r="L263" s="298"/>
      <c r="M263" s="292"/>
      <c r="N263" s="292"/>
    </row>
    <row r="264" spans="1:14" ht="15.75">
      <c r="A264" s="319"/>
      <c r="B264" s="333"/>
      <c r="C264" s="322"/>
      <c r="D264" s="322"/>
      <c r="H264" s="292"/>
      <c r="I264" s="292"/>
      <c r="J264" s="298"/>
      <c r="K264" s="292"/>
      <c r="L264" s="298"/>
      <c r="M264" s="292"/>
      <c r="N264" s="292"/>
    </row>
    <row r="265" spans="1:14" ht="15.75">
      <c r="A265" s="319"/>
      <c r="B265" s="333"/>
      <c r="C265" s="322"/>
      <c r="D265" s="322"/>
      <c r="H265" s="292"/>
      <c r="I265" s="292"/>
      <c r="J265" s="298"/>
      <c r="K265" s="292"/>
      <c r="L265" s="298"/>
      <c r="M265" s="292"/>
      <c r="N265" s="292"/>
    </row>
    <row r="266" spans="1:14" ht="15.75">
      <c r="A266" s="319"/>
      <c r="B266" s="333"/>
      <c r="C266" s="322"/>
      <c r="D266" s="322"/>
      <c r="H266" s="292"/>
      <c r="I266" s="292"/>
      <c r="J266" s="298"/>
      <c r="K266" s="292"/>
      <c r="L266" s="298"/>
      <c r="M266" s="292"/>
      <c r="N266" s="292"/>
    </row>
    <row r="267" spans="1:14" ht="15.75">
      <c r="A267" s="319"/>
      <c r="B267" s="333"/>
      <c r="C267" s="322"/>
      <c r="D267" s="322"/>
      <c r="H267" s="292"/>
      <c r="I267" s="292"/>
      <c r="J267" s="298"/>
      <c r="K267" s="292"/>
      <c r="L267" s="298"/>
      <c r="M267" s="292"/>
      <c r="N267" s="292"/>
    </row>
    <row r="268" spans="1:14" ht="15.75">
      <c r="A268" s="319"/>
      <c r="B268" s="333"/>
      <c r="C268" s="322"/>
      <c r="D268" s="322"/>
      <c r="H268" s="292"/>
      <c r="I268" s="292"/>
      <c r="J268" s="298"/>
      <c r="K268" s="292"/>
      <c r="L268" s="298"/>
      <c r="M268" s="292"/>
      <c r="N268" s="292"/>
    </row>
    <row r="269" spans="1:14" ht="15.75">
      <c r="A269" s="319"/>
      <c r="B269" s="333"/>
      <c r="C269" s="322"/>
      <c r="D269" s="322"/>
      <c r="H269" s="292"/>
      <c r="I269" s="292"/>
      <c r="J269" s="298"/>
      <c r="K269" s="292"/>
      <c r="L269" s="298"/>
      <c r="M269" s="292"/>
      <c r="N269" s="292"/>
    </row>
    <row r="270" spans="1:14" ht="15.75">
      <c r="A270" s="319"/>
      <c r="B270" s="333"/>
      <c r="C270" s="322"/>
      <c r="D270" s="322"/>
      <c r="H270" s="292"/>
      <c r="I270" s="292"/>
      <c r="J270" s="298"/>
      <c r="K270" s="292"/>
      <c r="L270" s="298"/>
      <c r="M270" s="292"/>
      <c r="N270" s="292"/>
    </row>
    <row r="271" spans="1:14" ht="15.75">
      <c r="A271" s="319"/>
      <c r="B271" s="333"/>
      <c r="C271" s="322"/>
      <c r="D271" s="322"/>
      <c r="H271" s="292"/>
      <c r="I271" s="292"/>
      <c r="J271" s="298"/>
      <c r="K271" s="292"/>
      <c r="L271" s="298"/>
      <c r="M271" s="292"/>
      <c r="N271" s="292"/>
    </row>
    <row r="272" spans="1:14" ht="15.75">
      <c r="A272" s="319"/>
      <c r="B272" s="333"/>
      <c r="C272" s="322"/>
      <c r="D272" s="322"/>
      <c r="H272" s="292"/>
      <c r="I272" s="292"/>
      <c r="J272" s="298"/>
      <c r="K272" s="292"/>
      <c r="L272" s="298"/>
      <c r="M272" s="292"/>
      <c r="N272" s="292"/>
    </row>
    <row r="273" spans="1:14" ht="15.75">
      <c r="A273" s="319"/>
      <c r="B273" s="333"/>
      <c r="C273" s="322"/>
      <c r="D273" s="322"/>
      <c r="H273" s="292"/>
      <c r="I273" s="292"/>
      <c r="J273" s="298"/>
      <c r="K273" s="292"/>
      <c r="L273" s="298"/>
      <c r="M273" s="292"/>
      <c r="N273" s="292"/>
    </row>
    <row r="274" spans="1:14" ht="15.75">
      <c r="A274" s="319"/>
      <c r="B274" s="333"/>
      <c r="C274" s="322"/>
      <c r="D274" s="322"/>
      <c r="H274" s="292"/>
      <c r="I274" s="292"/>
      <c r="J274" s="298"/>
      <c r="K274" s="292"/>
      <c r="L274" s="298"/>
      <c r="M274" s="292"/>
      <c r="N274" s="292"/>
    </row>
    <row r="275" spans="1:14" ht="15.75">
      <c r="A275" s="319"/>
      <c r="B275" s="333"/>
      <c r="C275" s="322"/>
      <c r="D275" s="322"/>
      <c r="H275" s="292"/>
      <c r="I275" s="292"/>
      <c r="J275" s="298"/>
      <c r="K275" s="292"/>
      <c r="L275" s="298"/>
      <c r="M275" s="292"/>
      <c r="N275" s="292"/>
    </row>
    <row r="276" spans="1:14" ht="15.75">
      <c r="A276" s="319"/>
      <c r="B276" s="333"/>
      <c r="C276" s="322"/>
      <c r="D276" s="322"/>
      <c r="H276" s="292"/>
      <c r="I276" s="292"/>
      <c r="J276" s="298"/>
      <c r="K276" s="292"/>
      <c r="L276" s="298"/>
      <c r="M276" s="292"/>
      <c r="N276" s="292"/>
    </row>
    <row r="277" spans="1:14" ht="15.75">
      <c r="A277" s="319"/>
      <c r="B277" s="333"/>
      <c r="C277" s="322"/>
      <c r="D277" s="322"/>
      <c r="H277" s="292"/>
      <c r="I277" s="292"/>
      <c r="J277" s="298"/>
      <c r="K277" s="292"/>
      <c r="L277" s="298"/>
      <c r="M277" s="292"/>
      <c r="N277" s="292"/>
    </row>
    <row r="278" spans="1:14" ht="15.75">
      <c r="A278" s="319"/>
      <c r="B278" s="333"/>
      <c r="C278" s="322"/>
      <c r="D278" s="322"/>
      <c r="H278" s="292"/>
      <c r="I278" s="292"/>
      <c r="J278" s="298"/>
      <c r="K278" s="292"/>
      <c r="L278" s="298"/>
      <c r="M278" s="292"/>
      <c r="N278" s="292"/>
    </row>
    <row r="279" spans="1:14" ht="15.75">
      <c r="A279" s="319"/>
      <c r="B279" s="333"/>
      <c r="C279" s="322"/>
      <c r="D279" s="322"/>
      <c r="H279" s="292"/>
      <c r="I279" s="292"/>
      <c r="J279" s="298"/>
      <c r="K279" s="292"/>
      <c r="L279" s="298"/>
      <c r="M279" s="292"/>
      <c r="N279" s="292"/>
    </row>
    <row r="280" spans="1:14" ht="15.75">
      <c r="A280" s="319"/>
      <c r="B280" s="333"/>
      <c r="C280" s="322"/>
      <c r="D280" s="322"/>
      <c r="H280" s="292"/>
      <c r="I280" s="292"/>
      <c r="J280" s="298"/>
      <c r="K280" s="292"/>
      <c r="L280" s="298"/>
      <c r="M280" s="292"/>
      <c r="N280" s="292"/>
    </row>
    <row r="281" spans="1:14" ht="15.75">
      <c r="A281" s="319"/>
      <c r="B281" s="333"/>
      <c r="C281" s="322"/>
      <c r="D281" s="322"/>
      <c r="H281" s="292"/>
      <c r="I281" s="292"/>
      <c r="J281" s="298"/>
      <c r="K281" s="292"/>
      <c r="L281" s="298"/>
      <c r="M281" s="292"/>
      <c r="N281" s="292"/>
    </row>
    <row r="282" spans="1:14" ht="15.75">
      <c r="A282" s="319"/>
      <c r="B282" s="333"/>
      <c r="C282" s="322"/>
      <c r="D282" s="322"/>
      <c r="H282" s="292"/>
      <c r="I282" s="292"/>
      <c r="J282" s="298"/>
      <c r="K282" s="292"/>
      <c r="L282" s="298"/>
      <c r="M282" s="292"/>
      <c r="N282" s="292"/>
    </row>
    <row r="283" spans="1:14" ht="15.75">
      <c r="A283" s="319"/>
      <c r="B283" s="333"/>
      <c r="C283" s="322"/>
      <c r="D283" s="322"/>
      <c r="H283" s="292"/>
      <c r="I283" s="292"/>
      <c r="J283" s="298"/>
      <c r="K283" s="292"/>
      <c r="L283" s="298"/>
      <c r="M283" s="292"/>
      <c r="N283" s="292"/>
    </row>
    <row r="284" spans="1:14" ht="15.75">
      <c r="A284" s="319"/>
      <c r="B284" s="333"/>
      <c r="C284" s="322"/>
      <c r="D284" s="322"/>
      <c r="H284" s="292"/>
      <c r="I284" s="292"/>
      <c r="J284" s="298"/>
      <c r="K284" s="292"/>
      <c r="L284" s="298"/>
      <c r="M284" s="292"/>
      <c r="N284" s="292"/>
    </row>
    <row r="285" spans="1:14" ht="15.75">
      <c r="A285" s="319"/>
      <c r="B285" s="333"/>
      <c r="C285" s="322"/>
      <c r="D285" s="322"/>
      <c r="H285" s="292"/>
      <c r="I285" s="292"/>
      <c r="J285" s="298"/>
      <c r="K285" s="292"/>
      <c r="L285" s="298"/>
      <c r="M285" s="292"/>
      <c r="N285" s="292"/>
    </row>
    <row r="286" spans="1:14" ht="15.75">
      <c r="A286" s="319"/>
      <c r="B286" s="333"/>
      <c r="C286" s="322"/>
      <c r="D286" s="322"/>
      <c r="H286" s="292"/>
      <c r="I286" s="292"/>
      <c r="J286" s="298"/>
      <c r="K286" s="292"/>
      <c r="L286" s="298"/>
      <c r="M286" s="292"/>
      <c r="N286" s="292"/>
    </row>
    <row r="287" spans="1:14" ht="15.75">
      <c r="A287" s="319"/>
      <c r="B287" s="333"/>
      <c r="C287" s="322"/>
      <c r="D287" s="322"/>
      <c r="H287" s="292"/>
      <c r="I287" s="292"/>
      <c r="J287" s="298"/>
      <c r="K287" s="292"/>
      <c r="L287" s="298"/>
      <c r="M287" s="292"/>
      <c r="N287" s="292"/>
    </row>
    <row r="288" spans="1:14" ht="15.75">
      <c r="A288" s="319"/>
      <c r="B288" s="333"/>
      <c r="C288" s="322"/>
      <c r="D288" s="322"/>
      <c r="H288" s="292"/>
      <c r="I288" s="292"/>
      <c r="J288" s="298"/>
      <c r="K288" s="292"/>
      <c r="L288" s="298"/>
      <c r="M288" s="292"/>
      <c r="N288" s="292"/>
    </row>
    <row r="289" spans="1:14" ht="15.75">
      <c r="A289" s="319"/>
      <c r="B289" s="333"/>
      <c r="C289" s="322"/>
      <c r="D289" s="322"/>
      <c r="H289" s="292"/>
      <c r="I289" s="292"/>
      <c r="J289" s="298"/>
      <c r="K289" s="292"/>
      <c r="L289" s="298"/>
      <c r="M289" s="292"/>
      <c r="N289" s="292"/>
    </row>
    <row r="290" spans="1:14" ht="15.75">
      <c r="A290" s="319"/>
      <c r="B290" s="333"/>
      <c r="C290" s="322"/>
      <c r="D290" s="322"/>
      <c r="H290" s="292"/>
      <c r="I290" s="292"/>
      <c r="J290" s="298"/>
      <c r="K290" s="292"/>
      <c r="L290" s="298"/>
      <c r="M290" s="292"/>
      <c r="N290" s="292"/>
    </row>
    <row r="291" spans="1:14" ht="15.75">
      <c r="A291" s="319"/>
      <c r="B291" s="333"/>
      <c r="C291" s="322"/>
      <c r="D291" s="322"/>
      <c r="H291" s="292"/>
      <c r="I291" s="292"/>
      <c r="J291" s="298"/>
      <c r="K291" s="292"/>
      <c r="L291" s="298"/>
      <c r="M291" s="292"/>
      <c r="N291" s="292"/>
    </row>
    <row r="292" spans="1:14" ht="15.75">
      <c r="A292" s="319"/>
      <c r="B292" s="333"/>
      <c r="C292" s="322"/>
      <c r="D292" s="322"/>
      <c r="H292" s="292"/>
      <c r="I292" s="292"/>
      <c r="J292" s="298"/>
      <c r="K292" s="292"/>
      <c r="L292" s="298"/>
      <c r="M292" s="292"/>
      <c r="N292" s="292"/>
    </row>
    <row r="293" spans="1:14" ht="15.75">
      <c r="A293" s="319"/>
      <c r="B293" s="333"/>
      <c r="C293" s="322"/>
      <c r="D293" s="322"/>
      <c r="H293" s="292"/>
      <c r="I293" s="292"/>
      <c r="J293" s="298"/>
      <c r="K293" s="292"/>
      <c r="L293" s="298"/>
      <c r="M293" s="292"/>
      <c r="N293" s="292"/>
    </row>
    <row r="294" spans="1:14" ht="15.75">
      <c r="A294" s="319"/>
      <c r="B294" s="333"/>
      <c r="C294" s="322"/>
      <c r="D294" s="322"/>
      <c r="H294" s="292"/>
      <c r="I294" s="292"/>
      <c r="J294" s="298"/>
      <c r="K294" s="292"/>
      <c r="L294" s="298"/>
      <c r="M294" s="292"/>
      <c r="N294" s="292"/>
    </row>
    <row r="295" spans="1:14" ht="15.75">
      <c r="A295" s="319"/>
      <c r="B295" s="333"/>
      <c r="C295" s="322"/>
      <c r="D295" s="322"/>
      <c r="H295" s="292"/>
      <c r="I295" s="292"/>
      <c r="J295" s="298"/>
      <c r="K295" s="292"/>
      <c r="L295" s="298"/>
      <c r="M295" s="292"/>
      <c r="N295" s="292"/>
    </row>
    <row r="296" spans="1:14" ht="15.75">
      <c r="A296" s="319"/>
      <c r="B296" s="333"/>
      <c r="C296" s="322"/>
      <c r="D296" s="322"/>
      <c r="H296" s="292"/>
      <c r="I296" s="292"/>
      <c r="J296" s="298"/>
      <c r="K296" s="292"/>
      <c r="L296" s="298"/>
      <c r="M296" s="292"/>
      <c r="N296" s="292"/>
    </row>
    <row r="297" spans="1:14" ht="15.75">
      <c r="A297" s="319"/>
      <c r="B297" s="333"/>
      <c r="C297" s="322"/>
      <c r="D297" s="322"/>
      <c r="H297" s="292"/>
      <c r="I297" s="292"/>
      <c r="J297" s="298"/>
      <c r="K297" s="292"/>
      <c r="L297" s="298"/>
      <c r="M297" s="292"/>
      <c r="N297" s="292"/>
    </row>
    <row r="298" spans="1:14" ht="15.75">
      <c r="A298" s="319"/>
      <c r="B298" s="333"/>
      <c r="C298" s="322"/>
      <c r="D298" s="322"/>
      <c r="H298" s="292"/>
      <c r="I298" s="292"/>
      <c r="J298" s="298"/>
      <c r="K298" s="292"/>
      <c r="L298" s="298"/>
      <c r="M298" s="292"/>
      <c r="N298" s="292"/>
    </row>
    <row r="299" spans="1:14" ht="15.75">
      <c r="A299" s="319"/>
      <c r="B299" s="333"/>
      <c r="C299" s="322"/>
      <c r="D299" s="322"/>
      <c r="H299" s="292"/>
      <c r="I299" s="292"/>
      <c r="J299" s="298"/>
      <c r="K299" s="292"/>
      <c r="L299" s="298"/>
      <c r="M299" s="292"/>
      <c r="N299" s="292"/>
    </row>
    <row r="300" spans="1:14" ht="15.75">
      <c r="A300" s="319"/>
      <c r="B300" s="333"/>
      <c r="C300" s="322"/>
      <c r="D300" s="322"/>
      <c r="H300" s="292"/>
      <c r="I300" s="292"/>
      <c r="J300" s="298"/>
      <c r="K300" s="292"/>
      <c r="L300" s="298"/>
      <c r="M300" s="292"/>
      <c r="N300" s="292"/>
    </row>
    <row r="301" spans="1:14" ht="15.75">
      <c r="A301" s="319"/>
      <c r="B301" s="333"/>
      <c r="C301" s="322"/>
      <c r="D301" s="322"/>
      <c r="H301" s="292"/>
      <c r="I301" s="292"/>
      <c r="J301" s="298"/>
      <c r="K301" s="292"/>
      <c r="L301" s="298"/>
      <c r="M301" s="292"/>
      <c r="N301" s="292"/>
    </row>
    <row r="302" spans="1:14" ht="15.75">
      <c r="A302" s="319"/>
      <c r="B302" s="333"/>
      <c r="C302" s="322"/>
      <c r="D302" s="322"/>
      <c r="H302" s="292"/>
      <c r="I302" s="292"/>
      <c r="J302" s="298"/>
      <c r="K302" s="292"/>
      <c r="L302" s="298"/>
      <c r="M302" s="292"/>
      <c r="N302" s="292"/>
    </row>
    <row r="303" spans="1:14" ht="15.75">
      <c r="A303" s="319"/>
      <c r="B303" s="333"/>
      <c r="C303" s="322"/>
      <c r="D303" s="322"/>
      <c r="H303" s="292"/>
      <c r="I303" s="292"/>
      <c r="J303" s="298"/>
      <c r="K303" s="292"/>
      <c r="L303" s="298"/>
      <c r="M303" s="292"/>
      <c r="N303" s="292"/>
    </row>
    <row r="304" spans="1:14" ht="15.75">
      <c r="A304" s="319"/>
      <c r="B304" s="333"/>
      <c r="C304" s="322"/>
      <c r="D304" s="322"/>
      <c r="H304" s="292"/>
      <c r="I304" s="292"/>
      <c r="J304" s="298"/>
      <c r="K304" s="292"/>
      <c r="L304" s="298"/>
      <c r="M304" s="292"/>
      <c r="N304" s="292"/>
    </row>
    <row r="305" spans="1:14" ht="15.75">
      <c r="A305" s="319"/>
      <c r="B305" s="333"/>
      <c r="C305" s="322"/>
      <c r="D305" s="322"/>
      <c r="H305" s="292"/>
      <c r="I305" s="292"/>
      <c r="J305" s="298"/>
      <c r="K305" s="292"/>
      <c r="L305" s="298"/>
      <c r="M305" s="292"/>
      <c r="N305" s="292"/>
    </row>
    <row r="306" spans="1:14" ht="15.75">
      <c r="A306" s="319"/>
      <c r="B306" s="333"/>
      <c r="C306" s="322"/>
      <c r="D306" s="322"/>
      <c r="H306" s="292"/>
      <c r="I306" s="292"/>
      <c r="J306" s="298"/>
      <c r="K306" s="292"/>
      <c r="L306" s="298"/>
      <c r="M306" s="292"/>
      <c r="N306" s="292"/>
    </row>
    <row r="307" spans="1:14" ht="15.75">
      <c r="A307" s="319"/>
      <c r="B307" s="333"/>
      <c r="C307" s="322"/>
      <c r="D307" s="322"/>
      <c r="H307" s="292"/>
      <c r="I307" s="292"/>
      <c r="J307" s="298"/>
      <c r="K307" s="292"/>
      <c r="L307" s="298"/>
      <c r="M307" s="292"/>
      <c r="N307" s="292"/>
    </row>
    <row r="308" spans="1:14" ht="15.75">
      <c r="A308" s="319"/>
      <c r="B308" s="333"/>
      <c r="C308" s="322"/>
      <c r="D308" s="322"/>
      <c r="H308" s="292"/>
      <c r="I308" s="292"/>
      <c r="J308" s="298"/>
      <c r="K308" s="292"/>
      <c r="L308" s="298"/>
      <c r="M308" s="292"/>
      <c r="N308" s="292"/>
    </row>
    <row r="309" spans="1:14" ht="15.75">
      <c r="A309" s="319"/>
      <c r="B309" s="333"/>
      <c r="C309" s="322"/>
      <c r="D309" s="322"/>
      <c r="H309" s="292"/>
      <c r="I309" s="292"/>
      <c r="J309" s="298"/>
      <c r="K309" s="292"/>
      <c r="L309" s="298"/>
      <c r="M309" s="292"/>
      <c r="N309" s="292"/>
    </row>
    <row r="310" spans="1:14" ht="15.75">
      <c r="A310" s="319"/>
      <c r="B310" s="333"/>
      <c r="C310" s="322"/>
      <c r="D310" s="322"/>
      <c r="H310" s="292"/>
      <c r="I310" s="292"/>
      <c r="J310" s="298"/>
      <c r="K310" s="292"/>
      <c r="L310" s="298"/>
      <c r="M310" s="292"/>
      <c r="N310" s="292"/>
    </row>
    <row r="311" spans="1:14" ht="15.75">
      <c r="A311" s="319"/>
      <c r="B311" s="333"/>
      <c r="C311" s="322"/>
      <c r="D311" s="322"/>
      <c r="H311" s="292"/>
      <c r="I311" s="292"/>
      <c r="J311" s="298"/>
      <c r="K311" s="292"/>
      <c r="L311" s="298"/>
      <c r="M311" s="292"/>
      <c r="N311" s="292"/>
    </row>
    <row r="312" spans="1:14" ht="15.75">
      <c r="A312" s="319"/>
      <c r="B312" s="333"/>
      <c r="C312" s="322"/>
      <c r="D312" s="322"/>
      <c r="H312" s="292"/>
      <c r="I312" s="292"/>
      <c r="J312" s="298"/>
      <c r="K312" s="292"/>
      <c r="L312" s="298"/>
      <c r="M312" s="292"/>
      <c r="N312" s="292"/>
    </row>
    <row r="313" spans="1:14" ht="15.75">
      <c r="A313" s="319"/>
      <c r="B313" s="333"/>
      <c r="C313" s="322"/>
      <c r="D313" s="322"/>
      <c r="H313" s="292"/>
      <c r="I313" s="292"/>
      <c r="J313" s="298"/>
      <c r="K313" s="292"/>
      <c r="L313" s="298"/>
      <c r="M313" s="292"/>
      <c r="N313" s="292"/>
    </row>
    <row r="314" spans="1:14" ht="15.75">
      <c r="A314" s="319"/>
      <c r="B314" s="333"/>
      <c r="C314" s="322"/>
      <c r="D314" s="322"/>
      <c r="H314" s="292"/>
      <c r="I314" s="292"/>
      <c r="J314" s="298"/>
      <c r="K314" s="292"/>
      <c r="L314" s="298"/>
      <c r="M314" s="292"/>
      <c r="N314" s="292"/>
    </row>
    <row r="315" spans="1:14" ht="15.75">
      <c r="A315" s="319"/>
      <c r="B315" s="333"/>
      <c r="C315" s="322"/>
      <c r="D315" s="322"/>
      <c r="H315" s="292"/>
      <c r="I315" s="292"/>
      <c r="J315" s="298"/>
      <c r="K315" s="292"/>
      <c r="L315" s="298"/>
      <c r="M315" s="292"/>
      <c r="N315" s="292"/>
    </row>
    <row r="316" spans="1:14" ht="15.75">
      <c r="A316" s="319"/>
      <c r="B316" s="333"/>
      <c r="C316" s="322"/>
      <c r="D316" s="322"/>
      <c r="H316" s="292"/>
      <c r="I316" s="292"/>
      <c r="J316" s="298"/>
      <c r="K316" s="292"/>
      <c r="L316" s="298"/>
      <c r="M316" s="292"/>
      <c r="N316" s="292"/>
    </row>
    <row r="317" spans="1:14" ht="15.75">
      <c r="A317" s="319"/>
      <c r="B317" s="333"/>
      <c r="C317" s="322"/>
      <c r="D317" s="322"/>
      <c r="H317" s="292"/>
      <c r="I317" s="292"/>
      <c r="J317" s="298"/>
      <c r="K317" s="292"/>
      <c r="L317" s="298"/>
      <c r="M317" s="292"/>
      <c r="N317" s="292"/>
    </row>
    <row r="318" spans="1:14" ht="15.75">
      <c r="A318" s="319"/>
      <c r="B318" s="333"/>
      <c r="C318" s="322"/>
      <c r="D318" s="322"/>
      <c r="H318" s="292"/>
      <c r="I318" s="292"/>
      <c r="J318" s="298"/>
      <c r="K318" s="292"/>
      <c r="L318" s="298"/>
      <c r="M318" s="292"/>
      <c r="N318" s="292"/>
    </row>
    <row r="319" spans="1:14" ht="15.75">
      <c r="A319" s="319"/>
      <c r="B319" s="333"/>
      <c r="C319" s="322"/>
      <c r="D319" s="322"/>
      <c r="H319" s="292"/>
      <c r="I319" s="292"/>
      <c r="J319" s="298"/>
      <c r="K319" s="292"/>
      <c r="L319" s="298"/>
      <c r="M319" s="292"/>
      <c r="N319" s="292"/>
    </row>
    <row r="320" spans="1:14" ht="15.75">
      <c r="A320" s="319"/>
      <c r="B320" s="333"/>
      <c r="C320" s="322"/>
      <c r="D320" s="322"/>
      <c r="H320" s="292"/>
      <c r="I320" s="292"/>
      <c r="J320" s="298"/>
      <c r="K320" s="292"/>
      <c r="L320" s="298"/>
      <c r="M320" s="292"/>
      <c r="N320" s="292"/>
    </row>
    <row r="321" spans="1:14" ht="15.75">
      <c r="A321" s="319"/>
      <c r="B321" s="333"/>
      <c r="C321" s="322"/>
      <c r="D321" s="322"/>
      <c r="H321" s="292"/>
      <c r="I321" s="292"/>
      <c r="J321" s="298"/>
      <c r="K321" s="292"/>
      <c r="L321" s="298"/>
      <c r="M321" s="292"/>
      <c r="N321" s="292"/>
    </row>
    <row r="322" spans="1:14" ht="15.75">
      <c r="A322" s="319"/>
      <c r="B322" s="333"/>
      <c r="C322" s="322"/>
      <c r="D322" s="322"/>
      <c r="H322" s="292"/>
      <c r="I322" s="292"/>
      <c r="J322" s="298"/>
      <c r="K322" s="292"/>
      <c r="L322" s="298"/>
      <c r="M322" s="292"/>
      <c r="N322" s="292"/>
    </row>
    <row r="323" spans="1:14" ht="15.75">
      <c r="A323" s="319"/>
      <c r="B323" s="333"/>
      <c r="C323" s="322"/>
      <c r="D323" s="322"/>
      <c r="H323" s="292"/>
      <c r="I323" s="292"/>
      <c r="J323" s="298"/>
      <c r="K323" s="292"/>
      <c r="L323" s="298"/>
      <c r="M323" s="292"/>
      <c r="N323" s="292"/>
    </row>
    <row r="324" spans="1:14" ht="15.75">
      <c r="A324" s="319"/>
      <c r="B324" s="333"/>
      <c r="C324" s="322"/>
      <c r="D324" s="322"/>
      <c r="H324" s="292"/>
      <c r="I324" s="292"/>
      <c r="J324" s="298"/>
      <c r="K324" s="292"/>
      <c r="L324" s="298"/>
      <c r="M324" s="292"/>
      <c r="N324" s="292"/>
    </row>
    <row r="325" spans="1:14" ht="15.75">
      <c r="A325" s="319"/>
      <c r="B325" s="333"/>
      <c r="C325" s="322"/>
      <c r="D325" s="322"/>
      <c r="H325" s="292"/>
      <c r="I325" s="292"/>
      <c r="J325" s="298"/>
      <c r="K325" s="292"/>
      <c r="L325" s="298"/>
      <c r="M325" s="292"/>
      <c r="N325" s="292"/>
    </row>
    <row r="326" spans="1:14" ht="15.75">
      <c r="A326" s="319"/>
      <c r="B326" s="333"/>
      <c r="C326" s="322"/>
      <c r="D326" s="322"/>
      <c r="H326" s="292"/>
      <c r="I326" s="292"/>
      <c r="J326" s="298"/>
      <c r="K326" s="292"/>
      <c r="L326" s="298"/>
      <c r="M326" s="292"/>
      <c r="N326" s="292"/>
    </row>
    <row r="327" spans="1:14" ht="15.75">
      <c r="A327" s="319"/>
      <c r="B327" s="333"/>
      <c r="C327" s="322"/>
      <c r="D327" s="322"/>
      <c r="H327" s="292"/>
      <c r="I327" s="292"/>
      <c r="J327" s="298"/>
      <c r="K327" s="292"/>
      <c r="L327" s="298"/>
      <c r="M327" s="292"/>
      <c r="N327" s="292"/>
    </row>
    <row r="328" spans="1:14" ht="15.75">
      <c r="A328" s="319"/>
      <c r="B328" s="333"/>
      <c r="C328" s="322"/>
      <c r="D328" s="322"/>
      <c r="H328" s="292"/>
      <c r="I328" s="292"/>
      <c r="J328" s="298"/>
      <c r="K328" s="292"/>
      <c r="L328" s="298"/>
      <c r="M328" s="292"/>
      <c r="N328" s="292"/>
    </row>
    <row r="329" spans="1:14" ht="15.75">
      <c r="A329" s="319"/>
      <c r="B329" s="333"/>
      <c r="C329" s="322"/>
      <c r="D329" s="322"/>
      <c r="H329" s="292"/>
      <c r="I329" s="292"/>
      <c r="J329" s="298"/>
      <c r="K329" s="292"/>
      <c r="L329" s="298"/>
      <c r="M329" s="292"/>
      <c r="N329" s="292"/>
    </row>
    <row r="330" spans="1:14" ht="15.75">
      <c r="A330" s="319"/>
      <c r="B330" s="333"/>
      <c r="C330" s="322"/>
      <c r="D330" s="322"/>
      <c r="H330" s="292"/>
      <c r="I330" s="292"/>
      <c r="J330" s="298"/>
      <c r="K330" s="292"/>
      <c r="L330" s="298"/>
      <c r="M330" s="292"/>
      <c r="N330" s="292"/>
    </row>
    <row r="331" spans="1:14" ht="15.75">
      <c r="A331" s="319"/>
      <c r="B331" s="333"/>
      <c r="C331" s="322"/>
      <c r="D331" s="322"/>
      <c r="H331" s="292"/>
      <c r="I331" s="292"/>
      <c r="J331" s="298"/>
      <c r="K331" s="292"/>
      <c r="L331" s="298"/>
      <c r="M331" s="292"/>
      <c r="N331" s="292"/>
    </row>
    <row r="332" spans="1:14" ht="15.75">
      <c r="A332" s="319"/>
      <c r="B332" s="333"/>
      <c r="C332" s="322"/>
      <c r="D332" s="322"/>
      <c r="H332" s="292"/>
      <c r="I332" s="292"/>
      <c r="J332" s="298"/>
      <c r="K332" s="292"/>
      <c r="L332" s="298"/>
      <c r="M332" s="292"/>
      <c r="N332" s="292"/>
    </row>
    <row r="333" spans="1:14" ht="15.75">
      <c r="A333" s="319"/>
      <c r="B333" s="333"/>
      <c r="C333" s="322"/>
      <c r="D333" s="322"/>
      <c r="H333" s="292"/>
      <c r="I333" s="292"/>
      <c r="J333" s="298"/>
      <c r="K333" s="292"/>
      <c r="L333" s="298"/>
      <c r="M333" s="292"/>
      <c r="N333" s="292"/>
    </row>
    <row r="334" spans="1:14" ht="15.75">
      <c r="A334" s="319"/>
      <c r="B334" s="333"/>
      <c r="C334" s="322"/>
      <c r="D334" s="322"/>
      <c r="H334" s="292"/>
      <c r="I334" s="292"/>
      <c r="J334" s="298"/>
      <c r="K334" s="292"/>
      <c r="L334" s="298"/>
      <c r="M334" s="292"/>
      <c r="N334" s="292"/>
    </row>
    <row r="335" spans="1:14" ht="15.75">
      <c r="A335" s="319"/>
      <c r="B335" s="333"/>
      <c r="C335" s="322"/>
      <c r="D335" s="322"/>
      <c r="H335" s="292"/>
      <c r="I335" s="292"/>
      <c r="J335" s="298"/>
      <c r="K335" s="292"/>
      <c r="L335" s="298"/>
      <c r="M335" s="292"/>
      <c r="N335" s="292"/>
    </row>
    <row r="336" spans="1:14" ht="15.75">
      <c r="A336" s="319"/>
      <c r="B336" s="333"/>
      <c r="C336" s="322"/>
      <c r="D336" s="322"/>
      <c r="H336" s="292"/>
      <c r="I336" s="292"/>
      <c r="J336" s="298"/>
      <c r="K336" s="292"/>
      <c r="L336" s="298"/>
      <c r="M336" s="292"/>
      <c r="N336" s="292"/>
    </row>
    <row r="337" spans="1:14" ht="15.75">
      <c r="A337" s="319"/>
      <c r="B337" s="333"/>
      <c r="C337" s="322"/>
      <c r="D337" s="322"/>
      <c r="H337" s="292"/>
      <c r="I337" s="292"/>
      <c r="J337" s="298"/>
      <c r="K337" s="292"/>
      <c r="L337" s="298"/>
      <c r="M337" s="292"/>
      <c r="N337" s="292"/>
    </row>
    <row r="338" spans="1:14" ht="15.75">
      <c r="A338" s="319"/>
      <c r="B338" s="333"/>
      <c r="C338" s="322"/>
      <c r="D338" s="322"/>
      <c r="H338" s="292"/>
      <c r="I338" s="292"/>
      <c r="J338" s="298"/>
      <c r="K338" s="292"/>
      <c r="L338" s="298"/>
      <c r="M338" s="292"/>
      <c r="N338" s="292"/>
    </row>
    <row r="339" spans="1:14" ht="15.75">
      <c r="A339" s="319"/>
      <c r="B339" s="333"/>
      <c r="C339" s="322"/>
      <c r="D339" s="322"/>
      <c r="H339" s="292"/>
      <c r="I339" s="292"/>
      <c r="J339" s="298"/>
      <c r="K339" s="292"/>
      <c r="L339" s="298"/>
      <c r="M339" s="292"/>
      <c r="N339" s="292"/>
    </row>
    <row r="340" spans="1:14" ht="15.75">
      <c r="A340" s="319"/>
      <c r="B340" s="333"/>
      <c r="C340" s="322"/>
      <c r="D340" s="322"/>
      <c r="H340" s="292"/>
      <c r="I340" s="292"/>
      <c r="J340" s="298"/>
      <c r="K340" s="292"/>
      <c r="L340" s="298"/>
      <c r="M340" s="292"/>
      <c r="N340" s="292"/>
    </row>
    <row r="341" spans="1:14" ht="15.75">
      <c r="A341" s="319"/>
      <c r="B341" s="333"/>
      <c r="C341" s="322"/>
      <c r="D341" s="322"/>
      <c r="H341" s="292"/>
      <c r="I341" s="292"/>
      <c r="J341" s="298"/>
      <c r="K341" s="292"/>
      <c r="L341" s="298"/>
      <c r="M341" s="292"/>
      <c r="N341" s="292"/>
    </row>
    <row r="342" spans="1:14" ht="15.75">
      <c r="A342" s="319"/>
      <c r="B342" s="333"/>
      <c r="C342" s="322"/>
      <c r="D342" s="322"/>
      <c r="H342" s="292"/>
      <c r="I342" s="292"/>
      <c r="J342" s="298"/>
      <c r="K342" s="292"/>
      <c r="L342" s="298"/>
      <c r="M342" s="292"/>
      <c r="N342" s="292"/>
    </row>
    <row r="343" spans="1:14" ht="15.75">
      <c r="A343" s="319"/>
      <c r="B343" s="333"/>
      <c r="C343" s="322"/>
      <c r="D343" s="322"/>
      <c r="H343" s="292"/>
      <c r="I343" s="292"/>
      <c r="J343" s="298"/>
      <c r="K343" s="292"/>
      <c r="L343" s="298"/>
      <c r="M343" s="292"/>
      <c r="N343" s="292"/>
    </row>
    <row r="344" spans="1:14" ht="15.75">
      <c r="A344" s="319"/>
      <c r="B344" s="333"/>
      <c r="C344" s="322"/>
      <c r="D344" s="322"/>
      <c r="H344" s="292"/>
      <c r="I344" s="292"/>
      <c r="J344" s="298"/>
      <c r="K344" s="292"/>
      <c r="L344" s="298"/>
      <c r="M344" s="292"/>
      <c r="N344" s="292"/>
    </row>
    <row r="345" spans="1:14" ht="15.75">
      <c r="A345" s="319"/>
      <c r="B345" s="333"/>
      <c r="C345" s="322"/>
      <c r="D345" s="322"/>
      <c r="H345" s="292"/>
      <c r="I345" s="292"/>
      <c r="J345" s="298"/>
      <c r="K345" s="292"/>
      <c r="L345" s="298"/>
      <c r="M345" s="292"/>
      <c r="N345" s="292"/>
    </row>
    <row r="346" spans="1:14" ht="15.75">
      <c r="A346" s="319"/>
      <c r="B346" s="333"/>
      <c r="C346" s="322"/>
      <c r="D346" s="322"/>
      <c r="H346" s="292"/>
      <c r="I346" s="292"/>
      <c r="J346" s="298"/>
      <c r="K346" s="292"/>
      <c r="L346" s="298"/>
      <c r="M346" s="292"/>
      <c r="N346" s="292"/>
    </row>
    <row r="347" spans="1:14" ht="15.75">
      <c r="A347" s="319"/>
      <c r="B347" s="333"/>
      <c r="C347" s="322"/>
      <c r="D347" s="322"/>
      <c r="H347" s="292"/>
      <c r="I347" s="292"/>
      <c r="J347" s="298"/>
      <c r="K347" s="292"/>
      <c r="L347" s="298"/>
      <c r="M347" s="292"/>
      <c r="N347" s="292"/>
    </row>
    <row r="348" spans="1:14" ht="15.75">
      <c r="A348" s="319"/>
      <c r="B348" s="333"/>
      <c r="C348" s="322"/>
      <c r="D348" s="322"/>
      <c r="H348" s="292"/>
      <c r="I348" s="292"/>
      <c r="J348" s="298"/>
      <c r="K348" s="292"/>
      <c r="L348" s="298"/>
      <c r="M348" s="292"/>
      <c r="N348" s="292"/>
    </row>
    <row r="349" spans="1:14" ht="15.75">
      <c r="A349" s="319"/>
      <c r="B349" s="333"/>
      <c r="C349" s="322"/>
      <c r="D349" s="322"/>
      <c r="H349" s="292"/>
      <c r="I349" s="292"/>
      <c r="J349" s="298"/>
      <c r="K349" s="292"/>
      <c r="L349" s="298"/>
      <c r="M349" s="292"/>
      <c r="N349" s="292"/>
    </row>
    <row r="350" spans="1:14" ht="15.75">
      <c r="A350" s="319"/>
      <c r="B350" s="333"/>
      <c r="C350" s="322"/>
      <c r="D350" s="322"/>
      <c r="H350" s="292"/>
      <c r="I350" s="292"/>
      <c r="J350" s="298"/>
      <c r="K350" s="292"/>
      <c r="L350" s="298"/>
      <c r="M350" s="292"/>
      <c r="N350" s="292"/>
    </row>
    <row r="351" spans="1:14" ht="15.75">
      <c r="A351" s="319"/>
      <c r="B351" s="333"/>
      <c r="C351" s="322"/>
      <c r="D351" s="322"/>
      <c r="H351" s="292"/>
      <c r="I351" s="292"/>
      <c r="J351" s="298"/>
      <c r="K351" s="292"/>
      <c r="L351" s="298"/>
      <c r="M351" s="292"/>
      <c r="N351" s="292"/>
    </row>
    <row r="352" spans="1:14" ht="15.75">
      <c r="A352" s="319"/>
      <c r="B352" s="333"/>
      <c r="C352" s="322"/>
      <c r="D352" s="322"/>
      <c r="H352" s="292"/>
      <c r="I352" s="292"/>
      <c r="J352" s="298"/>
      <c r="K352" s="292"/>
      <c r="L352" s="298"/>
      <c r="M352" s="292"/>
      <c r="N352" s="292"/>
    </row>
    <row r="353" spans="1:14" ht="15.75">
      <c r="A353" s="319"/>
      <c r="B353" s="333"/>
      <c r="C353" s="322"/>
      <c r="D353" s="322"/>
      <c r="H353" s="292"/>
      <c r="I353" s="292"/>
      <c r="J353" s="298"/>
      <c r="K353" s="292"/>
      <c r="L353" s="298"/>
      <c r="M353" s="292"/>
      <c r="N353" s="292"/>
    </row>
    <row r="354" spans="1:14" ht="15.75">
      <c r="A354" s="319"/>
      <c r="B354" s="333"/>
      <c r="C354" s="322"/>
      <c r="D354" s="322"/>
      <c r="H354" s="292"/>
      <c r="I354" s="292"/>
      <c r="J354" s="298"/>
      <c r="K354" s="292"/>
      <c r="L354" s="298"/>
      <c r="M354" s="292"/>
      <c r="N354" s="292"/>
    </row>
    <row r="355" spans="1:14" ht="15.75">
      <c r="A355" s="319"/>
      <c r="B355" s="333"/>
      <c r="C355" s="322"/>
      <c r="D355" s="322"/>
      <c r="H355" s="292"/>
      <c r="I355" s="292"/>
      <c r="J355" s="298"/>
      <c r="K355" s="292"/>
      <c r="L355" s="298"/>
      <c r="M355" s="292"/>
      <c r="N355" s="292"/>
    </row>
    <row r="356" spans="1:14" ht="15.75">
      <c r="A356" s="319"/>
      <c r="B356" s="333"/>
      <c r="C356" s="322"/>
      <c r="D356" s="322"/>
      <c r="H356" s="292"/>
      <c r="I356" s="292"/>
      <c r="J356" s="298"/>
      <c r="K356" s="292"/>
      <c r="L356" s="298"/>
      <c r="M356" s="292"/>
      <c r="N356" s="292"/>
    </row>
    <row r="357" spans="1:14" ht="15.75">
      <c r="A357" s="319"/>
      <c r="B357" s="333"/>
      <c r="C357" s="322"/>
      <c r="D357" s="322"/>
      <c r="H357" s="292"/>
      <c r="I357" s="292"/>
      <c r="J357" s="298"/>
      <c r="K357" s="292"/>
      <c r="L357" s="298"/>
      <c r="M357" s="292"/>
      <c r="N357" s="292"/>
    </row>
    <row r="358" spans="1:14" ht="15.75">
      <c r="A358" s="319"/>
      <c r="B358" s="333"/>
      <c r="C358" s="322"/>
      <c r="D358" s="322"/>
      <c r="H358" s="292"/>
      <c r="I358" s="292"/>
      <c r="J358" s="298"/>
      <c r="K358" s="292"/>
      <c r="L358" s="298"/>
      <c r="M358" s="292"/>
      <c r="N358" s="292"/>
    </row>
    <row r="359" spans="1:14" ht="15.75">
      <c r="A359" s="319"/>
      <c r="B359" s="333"/>
      <c r="C359" s="322"/>
      <c r="D359" s="322"/>
      <c r="H359" s="292"/>
      <c r="I359" s="292"/>
      <c r="J359" s="298"/>
      <c r="K359" s="292"/>
      <c r="L359" s="298"/>
      <c r="M359" s="292"/>
      <c r="N359" s="292"/>
    </row>
    <row r="360" spans="1:14" ht="15.75">
      <c r="A360" s="319"/>
      <c r="B360" s="333"/>
      <c r="C360" s="322"/>
      <c r="D360" s="322"/>
      <c r="H360" s="292"/>
      <c r="I360" s="292"/>
      <c r="J360" s="298"/>
      <c r="K360" s="292"/>
      <c r="L360" s="298"/>
      <c r="M360" s="292"/>
      <c r="N360" s="292"/>
    </row>
    <row r="361" spans="1:14" ht="15.75">
      <c r="A361" s="319"/>
      <c r="B361" s="333"/>
      <c r="C361" s="322"/>
      <c r="D361" s="322"/>
      <c r="H361" s="292"/>
      <c r="I361" s="292"/>
      <c r="J361" s="298"/>
      <c r="K361" s="292"/>
      <c r="L361" s="298"/>
      <c r="M361" s="292"/>
      <c r="N361" s="292"/>
    </row>
    <row r="362" spans="1:14" ht="15.75">
      <c r="A362" s="319"/>
      <c r="B362" s="333"/>
      <c r="C362" s="322"/>
      <c r="D362" s="322"/>
      <c r="H362" s="292"/>
      <c r="I362" s="292"/>
      <c r="J362" s="298"/>
      <c r="K362" s="292"/>
      <c r="L362" s="298"/>
      <c r="M362" s="292"/>
      <c r="N362" s="292"/>
    </row>
    <row r="363" spans="1:14" ht="15.75">
      <c r="A363" s="319"/>
      <c r="B363" s="333"/>
      <c r="C363" s="322"/>
      <c r="D363" s="322"/>
      <c r="H363" s="292"/>
      <c r="I363" s="292"/>
      <c r="J363" s="298"/>
      <c r="K363" s="292"/>
      <c r="L363" s="298"/>
      <c r="M363" s="292"/>
      <c r="N363" s="292"/>
    </row>
    <row r="364" spans="1:14" ht="15.75">
      <c r="A364" s="319"/>
      <c r="B364" s="333"/>
      <c r="C364" s="322"/>
      <c r="D364" s="322"/>
      <c r="H364" s="292"/>
      <c r="I364" s="292"/>
      <c r="J364" s="298"/>
      <c r="K364" s="292"/>
      <c r="L364" s="298"/>
      <c r="M364" s="292"/>
      <c r="N364" s="292"/>
    </row>
    <row r="365" spans="1:14" ht="15.75">
      <c r="A365" s="319"/>
      <c r="B365" s="333"/>
      <c r="C365" s="322"/>
      <c r="D365" s="322"/>
      <c r="H365" s="292"/>
      <c r="I365" s="292"/>
      <c r="J365" s="298"/>
      <c r="K365" s="292"/>
      <c r="L365" s="298"/>
      <c r="M365" s="292"/>
      <c r="N365" s="292"/>
    </row>
    <row r="366" spans="1:14" ht="15.75">
      <c r="A366" s="319"/>
      <c r="B366" s="333"/>
      <c r="C366" s="322"/>
      <c r="D366" s="322"/>
      <c r="H366" s="292"/>
      <c r="I366" s="292"/>
      <c r="J366" s="298"/>
      <c r="K366" s="292"/>
      <c r="L366" s="298"/>
      <c r="M366" s="292"/>
      <c r="N366" s="292"/>
    </row>
    <row r="367" spans="1:14" ht="15.75">
      <c r="A367" s="319"/>
      <c r="B367" s="333"/>
      <c r="C367" s="322"/>
      <c r="D367" s="322"/>
      <c r="H367" s="292"/>
      <c r="I367" s="292"/>
      <c r="J367" s="298"/>
      <c r="K367" s="292"/>
      <c r="L367" s="298"/>
      <c r="M367" s="292"/>
      <c r="N367" s="292"/>
    </row>
    <row r="368" spans="1:14" ht="15.75">
      <c r="A368" s="319"/>
      <c r="B368" s="333"/>
      <c r="C368" s="322"/>
      <c r="D368" s="322"/>
      <c r="H368" s="292"/>
      <c r="I368" s="292"/>
      <c r="J368" s="298"/>
      <c r="K368" s="292"/>
      <c r="L368" s="298"/>
      <c r="M368" s="292"/>
      <c r="N368" s="292"/>
    </row>
    <row r="369" spans="1:14" ht="15.75">
      <c r="A369" s="319"/>
      <c r="B369" s="333"/>
      <c r="C369" s="322"/>
      <c r="D369" s="322"/>
      <c r="H369" s="292"/>
      <c r="I369" s="292"/>
      <c r="J369" s="298"/>
      <c r="K369" s="292"/>
      <c r="L369" s="298"/>
      <c r="M369" s="292"/>
      <c r="N369" s="292"/>
    </row>
    <row r="370" spans="1:14" ht="15.75">
      <c r="A370" s="319"/>
      <c r="B370" s="333"/>
      <c r="C370" s="322"/>
      <c r="D370" s="322"/>
      <c r="H370" s="292"/>
      <c r="I370" s="292"/>
      <c r="J370" s="298"/>
      <c r="K370" s="292"/>
      <c r="L370" s="298"/>
      <c r="M370" s="292"/>
      <c r="N370" s="292"/>
    </row>
    <row r="371" spans="1:14" ht="15.75">
      <c r="A371" s="319"/>
      <c r="B371" s="333"/>
      <c r="C371" s="322"/>
      <c r="D371" s="322"/>
      <c r="H371" s="292"/>
      <c r="I371" s="292"/>
      <c r="J371" s="298"/>
      <c r="K371" s="292"/>
      <c r="L371" s="298"/>
      <c r="M371" s="292"/>
      <c r="N371" s="292"/>
    </row>
    <row r="372" spans="1:14" ht="15.75">
      <c r="A372" s="319"/>
      <c r="B372" s="333"/>
      <c r="C372" s="322"/>
      <c r="D372" s="322"/>
      <c r="H372" s="292"/>
      <c r="I372" s="292"/>
      <c r="J372" s="298"/>
      <c r="K372" s="292"/>
      <c r="L372" s="298"/>
      <c r="M372" s="292"/>
      <c r="N372" s="292"/>
    </row>
    <row r="373" spans="1:14" ht="15.75">
      <c r="A373" s="319"/>
      <c r="B373" s="333"/>
      <c r="C373" s="322"/>
      <c r="D373" s="322"/>
      <c r="H373" s="292"/>
      <c r="I373" s="292"/>
      <c r="J373" s="298"/>
      <c r="K373" s="292"/>
      <c r="L373" s="298"/>
      <c r="M373" s="292"/>
      <c r="N373" s="292"/>
    </row>
    <row r="374" spans="1:14" ht="15.75">
      <c r="A374" s="319"/>
      <c r="B374" s="333"/>
      <c r="C374" s="322"/>
      <c r="D374" s="322"/>
      <c r="H374" s="292"/>
      <c r="I374" s="292"/>
      <c r="J374" s="298"/>
      <c r="K374" s="292"/>
      <c r="L374" s="298"/>
      <c r="M374" s="292"/>
      <c r="N374" s="292"/>
    </row>
    <row r="375" spans="1:14" ht="15.75">
      <c r="A375" s="319"/>
      <c r="B375" s="333"/>
      <c r="C375" s="322"/>
      <c r="D375" s="322"/>
      <c r="H375" s="292"/>
      <c r="I375" s="292"/>
      <c r="J375" s="298"/>
      <c r="K375" s="292"/>
      <c r="L375" s="298"/>
      <c r="M375" s="292"/>
      <c r="N375" s="292"/>
    </row>
    <row r="376" spans="1:14" ht="15.75">
      <c r="A376" s="319"/>
      <c r="B376" s="333"/>
      <c r="C376" s="322"/>
      <c r="D376" s="322"/>
      <c r="H376" s="292"/>
      <c r="I376" s="292"/>
      <c r="J376" s="298"/>
      <c r="K376" s="292"/>
      <c r="L376" s="298"/>
      <c r="M376" s="292"/>
      <c r="N376" s="292"/>
    </row>
    <row r="377" spans="1:14" ht="15.75">
      <c r="A377" s="319"/>
      <c r="B377" s="333"/>
      <c r="C377" s="322"/>
      <c r="D377" s="322"/>
      <c r="H377" s="292"/>
      <c r="I377" s="292"/>
      <c r="J377" s="298"/>
      <c r="K377" s="292"/>
      <c r="L377" s="298"/>
      <c r="M377" s="292"/>
      <c r="N377" s="292"/>
    </row>
    <row r="378" spans="1:14" ht="15.75">
      <c r="A378" s="319"/>
      <c r="B378" s="333"/>
      <c r="C378" s="322"/>
      <c r="D378" s="322"/>
      <c r="H378" s="292"/>
      <c r="I378" s="292"/>
      <c r="J378" s="298"/>
      <c r="K378" s="292"/>
      <c r="L378" s="298"/>
      <c r="M378" s="292"/>
      <c r="N378" s="292"/>
    </row>
    <row r="379" spans="1:14" ht="15.75">
      <c r="A379" s="319"/>
      <c r="B379" s="333"/>
      <c r="C379" s="322"/>
      <c r="D379" s="322"/>
      <c r="H379" s="292"/>
      <c r="I379" s="292"/>
      <c r="J379" s="298"/>
      <c r="K379" s="292"/>
      <c r="L379" s="298"/>
      <c r="M379" s="292"/>
      <c r="N379" s="292"/>
    </row>
    <row r="380" spans="1:14" ht="15.75">
      <c r="A380" s="319"/>
      <c r="B380" s="333"/>
      <c r="C380" s="322"/>
      <c r="D380" s="322"/>
      <c r="H380" s="292"/>
      <c r="I380" s="292"/>
      <c r="J380" s="298"/>
      <c r="K380" s="292"/>
      <c r="L380" s="298"/>
      <c r="M380" s="292"/>
      <c r="N380" s="292"/>
    </row>
    <row r="381" spans="1:14" ht="15.75">
      <c r="A381" s="319"/>
      <c r="B381" s="333"/>
      <c r="C381" s="322"/>
      <c r="D381" s="322"/>
      <c r="H381" s="292"/>
      <c r="I381" s="292"/>
      <c r="J381" s="298"/>
      <c r="K381" s="292"/>
      <c r="L381" s="298"/>
      <c r="M381" s="292"/>
      <c r="N381" s="292"/>
    </row>
    <row r="382" spans="1:14" ht="15.75">
      <c r="A382" s="319"/>
      <c r="B382" s="333"/>
      <c r="C382" s="322"/>
      <c r="D382" s="322"/>
      <c r="H382" s="292"/>
      <c r="I382" s="292"/>
      <c r="J382" s="298"/>
      <c r="K382" s="292"/>
      <c r="L382" s="298"/>
      <c r="M382" s="292"/>
      <c r="N382" s="292"/>
    </row>
    <row r="383" spans="1:14" ht="15.75">
      <c r="A383" s="319"/>
      <c r="B383" s="333"/>
      <c r="C383" s="322"/>
      <c r="D383" s="322"/>
      <c r="H383" s="292"/>
      <c r="I383" s="292"/>
      <c r="J383" s="298"/>
      <c r="K383" s="292"/>
      <c r="L383" s="298"/>
      <c r="M383" s="292"/>
      <c r="N383" s="292"/>
    </row>
    <row r="384" spans="1:14" ht="15.75">
      <c r="A384" s="319"/>
      <c r="B384" s="333"/>
      <c r="C384" s="322"/>
      <c r="D384" s="322"/>
      <c r="H384" s="292"/>
      <c r="I384" s="292"/>
      <c r="J384" s="298"/>
      <c r="K384" s="292"/>
      <c r="L384" s="298"/>
      <c r="M384" s="292"/>
      <c r="N384" s="292"/>
    </row>
    <row r="385" spans="1:14" ht="15.75">
      <c r="A385" s="319"/>
      <c r="B385" s="333"/>
      <c r="C385" s="322"/>
      <c r="D385" s="322"/>
      <c r="H385" s="292"/>
      <c r="I385" s="292"/>
      <c r="J385" s="298"/>
      <c r="K385" s="292"/>
      <c r="L385" s="298"/>
      <c r="M385" s="292"/>
      <c r="N385" s="292"/>
    </row>
    <row r="386" spans="1:14" ht="15.75">
      <c r="A386" s="319"/>
      <c r="B386" s="333"/>
      <c r="C386" s="322"/>
      <c r="D386" s="322"/>
      <c r="H386" s="292"/>
      <c r="I386" s="292"/>
      <c r="J386" s="298"/>
      <c r="K386" s="292"/>
      <c r="L386" s="298"/>
      <c r="M386" s="292"/>
      <c r="N386" s="292"/>
    </row>
    <row r="387" spans="1:14" ht="15.75">
      <c r="A387" s="319"/>
      <c r="B387" s="333"/>
      <c r="C387" s="322"/>
      <c r="D387" s="322"/>
      <c r="H387" s="292"/>
      <c r="I387" s="292"/>
      <c r="J387" s="298"/>
      <c r="K387" s="292"/>
      <c r="L387" s="298"/>
      <c r="M387" s="292"/>
      <c r="N387" s="292"/>
    </row>
    <row r="388" spans="1:14" ht="15.75">
      <c r="A388" s="319"/>
      <c r="B388" s="333"/>
      <c r="C388" s="322"/>
      <c r="D388" s="322"/>
      <c r="H388" s="292"/>
      <c r="I388" s="292"/>
      <c r="J388" s="298"/>
      <c r="K388" s="292"/>
      <c r="L388" s="298"/>
      <c r="M388" s="292"/>
      <c r="N388" s="292"/>
    </row>
    <row r="389" spans="1:14" ht="15.75">
      <c r="A389" s="319"/>
      <c r="B389" s="333"/>
      <c r="C389" s="322"/>
      <c r="D389" s="322"/>
      <c r="H389" s="292"/>
      <c r="I389" s="292"/>
      <c r="J389" s="298"/>
      <c r="K389" s="292"/>
      <c r="L389" s="298"/>
      <c r="M389" s="292"/>
      <c r="N389" s="292"/>
    </row>
    <row r="390" spans="1:14" ht="15.75">
      <c r="A390" s="319"/>
      <c r="B390" s="333"/>
      <c r="C390" s="322"/>
      <c r="D390" s="322"/>
      <c r="H390" s="292"/>
      <c r="I390" s="292"/>
      <c r="J390" s="298"/>
      <c r="K390" s="292"/>
      <c r="L390" s="298"/>
      <c r="M390" s="292"/>
      <c r="N390" s="292"/>
    </row>
    <row r="391" spans="1:14" ht="15.75">
      <c r="A391" s="319"/>
      <c r="B391" s="333"/>
      <c r="C391" s="322"/>
      <c r="D391" s="322"/>
      <c r="H391" s="292"/>
      <c r="I391" s="292"/>
      <c r="J391" s="298"/>
      <c r="K391" s="292"/>
      <c r="L391" s="298"/>
      <c r="M391" s="292"/>
      <c r="N391" s="292"/>
    </row>
    <row r="392" spans="1:14" ht="15.75">
      <c r="A392" s="319"/>
      <c r="B392" s="333"/>
      <c r="C392" s="322"/>
      <c r="D392" s="322"/>
      <c r="H392" s="292"/>
      <c r="I392" s="292"/>
      <c r="J392" s="298"/>
      <c r="K392" s="292"/>
      <c r="L392" s="298"/>
      <c r="M392" s="292"/>
      <c r="N392" s="292"/>
    </row>
    <row r="393" spans="1:14" ht="15.75">
      <c r="A393" s="319"/>
      <c r="B393" s="333"/>
      <c r="C393" s="322"/>
      <c r="D393" s="322"/>
      <c r="H393" s="292"/>
      <c r="I393" s="292"/>
      <c r="J393" s="298"/>
      <c r="K393" s="292"/>
      <c r="L393" s="298"/>
      <c r="M393" s="292"/>
      <c r="N393" s="292"/>
    </row>
    <row r="394" spans="1:14" ht="15.75">
      <c r="A394" s="319"/>
      <c r="B394" s="333"/>
      <c r="C394" s="322"/>
      <c r="D394" s="322"/>
      <c r="H394" s="292"/>
      <c r="I394" s="292"/>
      <c r="J394" s="298"/>
      <c r="K394" s="292"/>
      <c r="L394" s="298"/>
      <c r="M394" s="292"/>
      <c r="N394" s="292"/>
    </row>
    <row r="395" spans="1:14" ht="15.75">
      <c r="A395" s="319"/>
      <c r="B395" s="333"/>
      <c r="C395" s="322"/>
      <c r="D395" s="322"/>
      <c r="H395" s="292"/>
      <c r="I395" s="292"/>
      <c r="J395" s="298"/>
      <c r="K395" s="292"/>
      <c r="L395" s="298"/>
      <c r="M395" s="292"/>
      <c r="N395" s="292"/>
    </row>
    <row r="396" spans="1:14" ht="15.75">
      <c r="A396" s="319"/>
      <c r="B396" s="333"/>
      <c r="C396" s="322"/>
      <c r="D396" s="322"/>
      <c r="H396" s="292"/>
      <c r="I396" s="292"/>
      <c r="J396" s="298"/>
      <c r="K396" s="292"/>
      <c r="L396" s="298"/>
      <c r="M396" s="292"/>
      <c r="N396" s="292"/>
    </row>
    <row r="397" spans="1:14" ht="15.75">
      <c r="A397" s="319"/>
      <c r="B397" s="333"/>
      <c r="C397" s="322"/>
      <c r="D397" s="322"/>
      <c r="H397" s="292"/>
      <c r="I397" s="292"/>
      <c r="J397" s="298"/>
      <c r="K397" s="292"/>
      <c r="L397" s="298"/>
      <c r="M397" s="292"/>
      <c r="N397" s="292"/>
    </row>
    <row r="398" spans="1:14" ht="15.75">
      <c r="A398" s="319"/>
      <c r="B398" s="333"/>
      <c r="C398" s="322"/>
      <c r="D398" s="322"/>
      <c r="H398" s="292"/>
      <c r="I398" s="292"/>
      <c r="J398" s="298"/>
      <c r="K398" s="292"/>
      <c r="L398" s="298"/>
      <c r="M398" s="292"/>
      <c r="N398" s="292"/>
    </row>
    <row r="399" spans="1:14" ht="15.75">
      <c r="A399" s="319"/>
      <c r="B399" s="333"/>
      <c r="C399" s="322"/>
      <c r="D399" s="322"/>
      <c r="H399" s="292"/>
      <c r="I399" s="292"/>
      <c r="J399" s="298"/>
      <c r="K399" s="292"/>
      <c r="L399" s="298"/>
      <c r="M399" s="292"/>
      <c r="N399" s="292"/>
    </row>
    <row r="400" spans="1:14" ht="15.75">
      <c r="A400" s="319"/>
      <c r="B400" s="333"/>
      <c r="C400" s="322"/>
      <c r="D400" s="322"/>
      <c r="H400" s="292"/>
      <c r="I400" s="292"/>
      <c r="J400" s="298"/>
      <c r="K400" s="292"/>
      <c r="L400" s="298"/>
      <c r="M400" s="292"/>
      <c r="N400" s="292"/>
    </row>
    <row r="401" spans="1:14" ht="15.75">
      <c r="A401" s="319"/>
      <c r="B401" s="333"/>
      <c r="C401" s="322"/>
      <c r="D401" s="322"/>
      <c r="H401" s="292"/>
      <c r="I401" s="292"/>
      <c r="J401" s="298"/>
      <c r="K401" s="292"/>
      <c r="L401" s="298"/>
      <c r="M401" s="292"/>
      <c r="N401" s="292"/>
    </row>
    <row r="402" spans="1:14" ht="15.75">
      <c r="A402" s="319"/>
      <c r="B402" s="333"/>
      <c r="C402" s="322"/>
      <c r="D402" s="322"/>
      <c r="H402" s="292"/>
      <c r="I402" s="292"/>
      <c r="J402" s="298"/>
      <c r="K402" s="292"/>
      <c r="L402" s="298"/>
      <c r="M402" s="292"/>
      <c r="N402" s="292"/>
    </row>
    <row r="403" spans="1:14" ht="15.75">
      <c r="A403" s="319"/>
      <c r="B403" s="333"/>
      <c r="C403" s="322"/>
      <c r="D403" s="322"/>
      <c r="H403" s="292"/>
      <c r="I403" s="292"/>
      <c r="J403" s="298"/>
      <c r="K403" s="292"/>
      <c r="L403" s="298"/>
      <c r="M403" s="292"/>
      <c r="N403" s="292"/>
    </row>
    <row r="404" spans="1:14" ht="15.75">
      <c r="A404" s="319"/>
      <c r="B404" s="333"/>
      <c r="C404" s="322"/>
      <c r="D404" s="322"/>
      <c r="H404" s="292"/>
      <c r="I404" s="292"/>
      <c r="J404" s="298"/>
      <c r="K404" s="292"/>
      <c r="L404" s="298"/>
      <c r="M404" s="292"/>
      <c r="N404" s="292"/>
    </row>
    <row r="405" spans="1:14" ht="15.75">
      <c r="A405" s="319"/>
      <c r="B405" s="333"/>
      <c r="C405" s="322"/>
      <c r="D405" s="322"/>
      <c r="H405" s="292"/>
      <c r="I405" s="292"/>
      <c r="J405" s="298"/>
      <c r="K405" s="292"/>
      <c r="L405" s="298"/>
      <c r="M405" s="292"/>
      <c r="N405" s="292"/>
    </row>
    <row r="406" spans="1:14" ht="15.75">
      <c r="A406" s="319"/>
      <c r="B406" s="333"/>
      <c r="C406" s="322"/>
      <c r="D406" s="322"/>
      <c r="H406" s="292"/>
      <c r="I406" s="292"/>
      <c r="J406" s="298"/>
      <c r="K406" s="292"/>
      <c r="L406" s="298"/>
      <c r="M406" s="292"/>
      <c r="N406" s="292"/>
    </row>
    <row r="407" spans="1:14" ht="15.75">
      <c r="A407" s="319"/>
      <c r="B407" s="333"/>
      <c r="C407" s="322"/>
      <c r="D407" s="322"/>
      <c r="H407" s="292"/>
      <c r="I407" s="292"/>
      <c r="J407" s="298"/>
      <c r="K407" s="292"/>
      <c r="L407" s="298"/>
      <c r="M407" s="292"/>
      <c r="N407" s="292"/>
    </row>
    <row r="408" spans="1:14" ht="15.75">
      <c r="A408" s="319"/>
      <c r="B408" s="333"/>
      <c r="C408" s="322"/>
      <c r="D408" s="322"/>
      <c r="H408" s="292"/>
      <c r="I408" s="292"/>
      <c r="J408" s="298"/>
      <c r="K408" s="292"/>
      <c r="L408" s="298"/>
      <c r="M408" s="292"/>
      <c r="N408" s="292"/>
    </row>
    <row r="409" spans="1:14" ht="15.75">
      <c r="A409" s="319"/>
      <c r="B409" s="333"/>
      <c r="C409" s="322"/>
      <c r="D409" s="322"/>
      <c r="H409" s="292"/>
      <c r="I409" s="292"/>
      <c r="J409" s="298"/>
      <c r="K409" s="292"/>
      <c r="L409" s="298"/>
      <c r="M409" s="292"/>
      <c r="N409" s="292"/>
    </row>
    <row r="410" spans="1:14" ht="15.75">
      <c r="A410" s="319"/>
      <c r="B410" s="333"/>
      <c r="C410" s="322"/>
      <c r="D410" s="322"/>
      <c r="H410" s="292"/>
      <c r="I410" s="292"/>
      <c r="J410" s="298"/>
      <c r="K410" s="292"/>
      <c r="L410" s="298"/>
      <c r="M410" s="292"/>
      <c r="N410" s="292"/>
    </row>
    <row r="411" spans="1:14" ht="15.75">
      <c r="A411" s="319"/>
      <c r="B411" s="333"/>
      <c r="C411" s="322"/>
      <c r="D411" s="322"/>
      <c r="H411" s="292"/>
      <c r="I411" s="292"/>
      <c r="J411" s="298"/>
      <c r="K411" s="292"/>
      <c r="L411" s="298"/>
      <c r="M411" s="292"/>
      <c r="N411" s="292"/>
    </row>
    <row r="412" spans="1:14" ht="15.75">
      <c r="A412" s="319"/>
      <c r="B412" s="333"/>
      <c r="C412" s="322"/>
      <c r="D412" s="322"/>
      <c r="H412" s="292"/>
      <c r="I412" s="292"/>
      <c r="J412" s="298"/>
      <c r="K412" s="292"/>
      <c r="L412" s="298"/>
      <c r="M412" s="292"/>
      <c r="N412" s="292"/>
    </row>
    <row r="413" spans="1:14" ht="15.75">
      <c r="A413" s="319"/>
      <c r="B413" s="333"/>
      <c r="C413" s="322"/>
      <c r="D413" s="322"/>
      <c r="H413" s="292"/>
      <c r="I413" s="292"/>
      <c r="J413" s="298"/>
      <c r="K413" s="292"/>
      <c r="L413" s="298"/>
      <c r="M413" s="292"/>
      <c r="N413" s="292"/>
    </row>
    <row r="414" spans="1:14" ht="15.75">
      <c r="A414" s="319"/>
      <c r="B414" s="333"/>
      <c r="C414" s="322"/>
      <c r="D414" s="322"/>
      <c r="H414" s="292"/>
      <c r="I414" s="292"/>
      <c r="J414" s="298"/>
      <c r="K414" s="292"/>
      <c r="L414" s="298"/>
      <c r="M414" s="292"/>
      <c r="N414" s="292"/>
    </row>
    <row r="415" spans="1:14" ht="15.75">
      <c r="A415" s="319"/>
      <c r="B415" s="333"/>
      <c r="C415" s="322"/>
      <c r="D415" s="322"/>
      <c r="H415" s="292"/>
      <c r="I415" s="292"/>
      <c r="J415" s="298"/>
      <c r="K415" s="292"/>
      <c r="L415" s="298"/>
      <c r="M415" s="292"/>
      <c r="N415" s="292"/>
    </row>
    <row r="416" spans="1:14" ht="15.75">
      <c r="A416" s="319"/>
      <c r="B416" s="333"/>
      <c r="C416" s="322"/>
      <c r="D416" s="322"/>
      <c r="H416" s="292"/>
      <c r="I416" s="292"/>
      <c r="J416" s="298"/>
      <c r="K416" s="292"/>
      <c r="L416" s="298"/>
      <c r="M416" s="292"/>
      <c r="N416" s="292"/>
    </row>
    <row r="417" spans="1:14" ht="15.75">
      <c r="A417" s="319"/>
      <c r="B417" s="333"/>
      <c r="C417" s="322"/>
      <c r="D417" s="322"/>
      <c r="H417" s="292"/>
      <c r="I417" s="292"/>
      <c r="J417" s="298"/>
      <c r="K417" s="292"/>
      <c r="L417" s="298"/>
      <c r="M417" s="292"/>
      <c r="N417" s="292"/>
    </row>
    <row r="418" spans="1:14" ht="15.75">
      <c r="A418" s="319"/>
      <c r="B418" s="333"/>
      <c r="C418" s="322"/>
      <c r="D418" s="322"/>
      <c r="H418" s="292"/>
      <c r="I418" s="292"/>
      <c r="J418" s="298"/>
      <c r="K418" s="292"/>
      <c r="L418" s="298"/>
      <c r="M418" s="292"/>
      <c r="N418" s="292"/>
    </row>
    <row r="419" spans="1:14" ht="15.75">
      <c r="A419" s="319"/>
      <c r="B419" s="333"/>
      <c r="C419" s="322"/>
      <c r="D419" s="322"/>
      <c r="H419" s="292"/>
      <c r="I419" s="292"/>
      <c r="J419" s="298"/>
      <c r="K419" s="292"/>
      <c r="L419" s="298"/>
      <c r="M419" s="292"/>
      <c r="N419" s="292"/>
    </row>
    <row r="420" spans="1:14" ht="15.75">
      <c r="A420" s="319"/>
      <c r="B420" s="333"/>
      <c r="C420" s="322"/>
      <c r="D420" s="322"/>
      <c r="H420" s="292"/>
      <c r="I420" s="292"/>
      <c r="J420" s="298"/>
      <c r="K420" s="292"/>
      <c r="L420" s="298"/>
      <c r="M420" s="292"/>
      <c r="N420" s="292"/>
    </row>
    <row r="421" spans="1:14" ht="15.75">
      <c r="A421" s="319"/>
      <c r="B421" s="333"/>
      <c r="C421" s="322"/>
      <c r="D421" s="322"/>
      <c r="H421" s="292"/>
      <c r="I421" s="292"/>
      <c r="J421" s="298"/>
      <c r="K421" s="292"/>
      <c r="L421" s="298"/>
      <c r="M421" s="292"/>
      <c r="N421" s="292"/>
    </row>
    <row r="422" spans="1:14" ht="15.75">
      <c r="A422" s="319"/>
      <c r="B422" s="333"/>
      <c r="C422" s="322"/>
      <c r="D422" s="322"/>
      <c r="H422" s="292"/>
      <c r="I422" s="292"/>
      <c r="J422" s="298"/>
      <c r="K422" s="292"/>
      <c r="L422" s="298"/>
      <c r="M422" s="292"/>
      <c r="N422" s="292"/>
    </row>
    <row r="423" spans="1:14" ht="15.75">
      <c r="A423" s="319"/>
      <c r="B423" s="333"/>
      <c r="C423" s="322"/>
      <c r="D423" s="322"/>
      <c r="H423" s="292"/>
      <c r="I423" s="292"/>
      <c r="J423" s="298"/>
      <c r="K423" s="292"/>
      <c r="L423" s="298"/>
      <c r="M423" s="292"/>
      <c r="N423" s="292"/>
    </row>
    <row r="424" spans="1:14" ht="15.75">
      <c r="A424" s="319"/>
      <c r="B424" s="333"/>
      <c r="C424" s="322"/>
      <c r="D424" s="322"/>
      <c r="H424" s="292"/>
      <c r="I424" s="292"/>
      <c r="J424" s="298"/>
      <c r="K424" s="292"/>
      <c r="L424" s="298"/>
      <c r="M424" s="292"/>
      <c r="N424" s="292"/>
    </row>
    <row r="425" spans="1:14" ht="15.75">
      <c r="A425" s="319"/>
      <c r="B425" s="333"/>
      <c r="C425" s="322"/>
      <c r="D425" s="322"/>
      <c r="H425" s="292"/>
      <c r="I425" s="292"/>
      <c r="J425" s="298"/>
      <c r="K425" s="292"/>
      <c r="L425" s="298"/>
      <c r="M425" s="292"/>
      <c r="N425" s="292"/>
    </row>
    <row r="426" spans="1:14" ht="15.75">
      <c r="A426" s="319"/>
      <c r="B426" s="333"/>
      <c r="C426" s="322"/>
      <c r="D426" s="322"/>
      <c r="H426" s="292"/>
      <c r="I426" s="292"/>
      <c r="J426" s="298"/>
      <c r="K426" s="292"/>
      <c r="L426" s="298"/>
      <c r="M426" s="292"/>
      <c r="N426" s="292"/>
    </row>
    <row r="427" spans="1:14" ht="15.75">
      <c r="A427" s="319"/>
      <c r="B427" s="333"/>
      <c r="C427" s="322"/>
      <c r="D427" s="322"/>
      <c r="H427" s="292"/>
      <c r="I427" s="292"/>
      <c r="J427" s="298"/>
      <c r="K427" s="292"/>
      <c r="L427" s="298"/>
      <c r="M427" s="292"/>
      <c r="N427" s="292"/>
    </row>
    <row r="428" spans="1:14" ht="15.75">
      <c r="A428" s="319"/>
      <c r="B428" s="333"/>
      <c r="C428" s="322"/>
      <c r="D428" s="322"/>
      <c r="H428" s="292"/>
      <c r="I428" s="292"/>
      <c r="J428" s="298"/>
      <c r="K428" s="292"/>
      <c r="L428" s="298"/>
      <c r="M428" s="292"/>
      <c r="N428" s="292"/>
    </row>
    <row r="429" spans="1:14" ht="15.75">
      <c r="A429" s="319"/>
      <c r="B429" s="333"/>
      <c r="C429" s="322"/>
      <c r="D429" s="322"/>
      <c r="H429" s="292"/>
      <c r="I429" s="292"/>
      <c r="J429" s="298"/>
      <c r="K429" s="292"/>
      <c r="L429" s="298"/>
      <c r="M429" s="292"/>
      <c r="N429" s="292"/>
    </row>
    <row r="430" spans="1:14" ht="15.75">
      <c r="A430" s="319"/>
      <c r="B430" s="333"/>
      <c r="C430" s="322"/>
      <c r="D430" s="322"/>
      <c r="H430" s="292"/>
      <c r="I430" s="292"/>
      <c r="J430" s="298"/>
      <c r="K430" s="292"/>
      <c r="L430" s="298"/>
      <c r="M430" s="292"/>
      <c r="N430" s="292"/>
    </row>
    <row r="431" spans="1:14" ht="15.75">
      <c r="A431" s="319"/>
      <c r="B431" s="333"/>
      <c r="C431" s="322"/>
      <c r="D431" s="322"/>
      <c r="H431" s="292"/>
      <c r="I431" s="292"/>
      <c r="J431" s="298"/>
      <c r="K431" s="292"/>
      <c r="L431" s="298"/>
      <c r="M431" s="292"/>
      <c r="N431" s="292"/>
    </row>
    <row r="432" spans="1:14" ht="15.75">
      <c r="A432" s="319"/>
      <c r="B432" s="333"/>
      <c r="C432" s="322"/>
      <c r="D432" s="322"/>
      <c r="H432" s="292"/>
      <c r="I432" s="292"/>
      <c r="J432" s="298"/>
      <c r="K432" s="292"/>
      <c r="L432" s="298"/>
      <c r="M432" s="292"/>
      <c r="N432" s="292"/>
    </row>
    <row r="433" spans="1:14" ht="15.75">
      <c r="A433" s="319"/>
      <c r="B433" s="333"/>
      <c r="C433" s="322"/>
      <c r="D433" s="322"/>
      <c r="H433" s="292"/>
      <c r="I433" s="292"/>
      <c r="J433" s="298"/>
      <c r="K433" s="292"/>
      <c r="L433" s="298"/>
      <c r="M433" s="292"/>
      <c r="N433" s="292"/>
    </row>
    <row r="434" spans="1:14" ht="15.75">
      <c r="A434" s="319"/>
      <c r="B434" s="333"/>
      <c r="C434" s="322"/>
      <c r="D434" s="322"/>
      <c r="H434" s="292"/>
      <c r="I434" s="292"/>
      <c r="J434" s="298"/>
      <c r="K434" s="292"/>
      <c r="L434" s="298"/>
      <c r="M434" s="292"/>
      <c r="N434" s="292"/>
    </row>
    <row r="435" spans="1:14" ht="15.75">
      <c r="A435" s="319"/>
      <c r="B435" s="333"/>
      <c r="C435" s="322"/>
      <c r="D435" s="322"/>
      <c r="H435" s="292"/>
      <c r="I435" s="292"/>
      <c r="J435" s="298"/>
      <c r="K435" s="292"/>
      <c r="L435" s="298"/>
      <c r="M435" s="292"/>
      <c r="N435" s="292"/>
    </row>
    <row r="436" spans="1:14" ht="15.75">
      <c r="A436" s="319"/>
      <c r="B436" s="333"/>
      <c r="C436" s="322"/>
      <c r="D436" s="322"/>
      <c r="H436" s="292"/>
      <c r="I436" s="292"/>
      <c r="J436" s="298"/>
      <c r="K436" s="292"/>
      <c r="L436" s="298"/>
      <c r="M436" s="292"/>
      <c r="N436" s="292"/>
    </row>
    <row r="437" spans="1:14" ht="15.75">
      <c r="A437" s="319"/>
      <c r="B437" s="333"/>
      <c r="C437" s="322"/>
      <c r="D437" s="322"/>
      <c r="H437" s="292"/>
      <c r="I437" s="292"/>
      <c r="J437" s="298"/>
      <c r="K437" s="292"/>
      <c r="L437" s="298"/>
      <c r="M437" s="292"/>
      <c r="N437" s="292"/>
    </row>
    <row r="438" spans="1:14" ht="15.75">
      <c r="A438" s="319"/>
      <c r="B438" s="333"/>
      <c r="C438" s="322"/>
      <c r="D438" s="322"/>
      <c r="H438" s="292"/>
      <c r="I438" s="292"/>
      <c r="J438" s="298"/>
      <c r="K438" s="292"/>
      <c r="L438" s="298"/>
      <c r="M438" s="292"/>
      <c r="N438" s="292"/>
    </row>
    <row r="439" spans="1:14" ht="15.75">
      <c r="A439" s="319"/>
      <c r="B439" s="333"/>
      <c r="C439" s="322"/>
      <c r="D439" s="322"/>
      <c r="H439" s="292"/>
      <c r="I439" s="292"/>
      <c r="J439" s="298"/>
      <c r="K439" s="292"/>
      <c r="L439" s="298"/>
      <c r="M439" s="292"/>
      <c r="N439" s="292"/>
    </row>
    <row r="440" spans="1:14" ht="15.75">
      <c r="A440" s="319"/>
      <c r="B440" s="333"/>
      <c r="C440" s="322"/>
      <c r="D440" s="322"/>
      <c r="H440" s="292"/>
      <c r="I440" s="292"/>
      <c r="J440" s="298"/>
      <c r="K440" s="292"/>
      <c r="L440" s="298"/>
      <c r="M440" s="292"/>
      <c r="N440" s="292"/>
    </row>
    <row r="441" spans="1:14" ht="15.75">
      <c r="A441" s="319"/>
      <c r="B441" s="333"/>
      <c r="C441" s="322"/>
      <c r="D441" s="322"/>
      <c r="H441" s="292"/>
      <c r="I441" s="292"/>
      <c r="J441" s="298"/>
      <c r="K441" s="292"/>
      <c r="L441" s="298"/>
      <c r="M441" s="292"/>
      <c r="N441" s="292"/>
    </row>
    <row r="442" spans="1:14" ht="15.75">
      <c r="A442" s="319"/>
      <c r="B442" s="333"/>
      <c r="C442" s="322"/>
      <c r="D442" s="322"/>
      <c r="H442" s="292"/>
      <c r="I442" s="292"/>
      <c r="J442" s="298"/>
      <c r="K442" s="292"/>
      <c r="L442" s="298"/>
      <c r="M442" s="292"/>
      <c r="N442" s="292"/>
    </row>
    <row r="443" spans="1:14" ht="15.75">
      <c r="A443" s="319"/>
      <c r="B443" s="333"/>
      <c r="C443" s="322"/>
      <c r="D443" s="322"/>
      <c r="H443" s="292"/>
      <c r="I443" s="292"/>
      <c r="J443" s="298"/>
      <c r="K443" s="292"/>
      <c r="L443" s="298"/>
      <c r="M443" s="292"/>
      <c r="N443" s="292"/>
    </row>
    <row r="444" spans="1:14" ht="15.75">
      <c r="A444" s="319"/>
      <c r="B444" s="333"/>
      <c r="C444" s="322"/>
      <c r="D444" s="322"/>
      <c r="H444" s="292"/>
      <c r="I444" s="292"/>
      <c r="J444" s="298"/>
      <c r="K444" s="292"/>
      <c r="L444" s="298"/>
      <c r="M444" s="292"/>
      <c r="N444" s="292"/>
    </row>
    <row r="445" spans="1:14" ht="15.75">
      <c r="A445" s="319"/>
      <c r="B445" s="333"/>
      <c r="C445" s="322"/>
      <c r="D445" s="322"/>
      <c r="H445" s="292"/>
      <c r="I445" s="292"/>
      <c r="J445" s="298"/>
      <c r="K445" s="292"/>
      <c r="L445" s="298"/>
      <c r="M445" s="292"/>
      <c r="N445" s="292"/>
    </row>
    <row r="446" spans="1:14" ht="15.75">
      <c r="A446" s="319"/>
      <c r="B446" s="333"/>
      <c r="C446" s="322"/>
      <c r="D446" s="322"/>
      <c r="H446" s="292"/>
      <c r="I446" s="292"/>
      <c r="J446" s="298"/>
      <c r="K446" s="292"/>
      <c r="L446" s="298"/>
      <c r="M446" s="292"/>
      <c r="N446" s="292"/>
    </row>
    <row r="447" spans="1:14" ht="15.75">
      <c r="A447" s="319"/>
      <c r="B447" s="333"/>
      <c r="C447" s="322"/>
      <c r="D447" s="322"/>
      <c r="H447" s="292"/>
      <c r="I447" s="292"/>
      <c r="J447" s="298"/>
      <c r="K447" s="292"/>
      <c r="L447" s="298"/>
      <c r="M447" s="292"/>
      <c r="N447" s="292"/>
    </row>
    <row r="448" spans="1:14" ht="15.75">
      <c r="A448" s="319"/>
      <c r="B448" s="333"/>
      <c r="C448" s="322"/>
      <c r="D448" s="322"/>
      <c r="H448" s="292"/>
      <c r="I448" s="292"/>
      <c r="J448" s="298"/>
      <c r="K448" s="292"/>
      <c r="L448" s="298"/>
      <c r="M448" s="292"/>
      <c r="N448" s="292"/>
    </row>
    <row r="449" spans="1:14" ht="15.75">
      <c r="A449" s="319"/>
      <c r="B449" s="333"/>
      <c r="C449" s="322"/>
      <c r="D449" s="322"/>
      <c r="H449" s="292"/>
      <c r="I449" s="292"/>
      <c r="J449" s="298"/>
      <c r="K449" s="292"/>
      <c r="L449" s="298"/>
      <c r="M449" s="292"/>
      <c r="N449" s="292"/>
    </row>
    <row r="450" spans="1:14" ht="15.75">
      <c r="A450" s="319"/>
      <c r="B450" s="333"/>
      <c r="C450" s="322"/>
      <c r="D450" s="322"/>
      <c r="H450" s="292"/>
      <c r="I450" s="292"/>
      <c r="J450" s="298"/>
      <c r="K450" s="292"/>
      <c r="L450" s="298"/>
      <c r="M450" s="292"/>
      <c r="N450" s="292"/>
    </row>
    <row r="451" spans="1:14" ht="15.75">
      <c r="A451" s="319"/>
      <c r="B451" s="333"/>
      <c r="C451" s="322"/>
      <c r="D451" s="322"/>
      <c r="H451" s="292"/>
      <c r="I451" s="292"/>
      <c r="J451" s="298"/>
      <c r="K451" s="292"/>
      <c r="L451" s="298"/>
      <c r="M451" s="292"/>
      <c r="N451" s="292"/>
    </row>
    <row r="452" spans="1:14" ht="15.75">
      <c r="A452" s="319"/>
      <c r="B452" s="333"/>
      <c r="C452" s="322"/>
      <c r="D452" s="322"/>
      <c r="H452" s="292"/>
      <c r="I452" s="292"/>
      <c r="J452" s="298"/>
      <c r="K452" s="292"/>
      <c r="L452" s="298"/>
      <c r="M452" s="292"/>
      <c r="N452" s="292"/>
    </row>
    <row r="453" spans="1:14" ht="15.75">
      <c r="A453" s="319"/>
      <c r="B453" s="333"/>
      <c r="C453" s="322"/>
      <c r="D453" s="322"/>
      <c r="H453" s="292"/>
      <c r="I453" s="292"/>
      <c r="J453" s="298"/>
      <c r="K453" s="292"/>
      <c r="L453" s="298"/>
      <c r="M453" s="292"/>
      <c r="N453" s="292"/>
    </row>
    <row r="454" spans="1:14" ht="15.75">
      <c r="A454" s="319"/>
      <c r="B454" s="333"/>
      <c r="C454" s="322"/>
      <c r="D454" s="322"/>
      <c r="H454" s="292"/>
      <c r="I454" s="292"/>
      <c r="J454" s="298"/>
      <c r="K454" s="292"/>
      <c r="L454" s="298"/>
      <c r="M454" s="292"/>
      <c r="N454" s="292"/>
    </row>
    <row r="455" spans="1:14" ht="15.75">
      <c r="A455" s="319"/>
      <c r="B455" s="333"/>
      <c r="C455" s="322"/>
      <c r="D455" s="322"/>
      <c r="H455" s="292"/>
      <c r="I455" s="292"/>
      <c r="J455" s="298"/>
      <c r="K455" s="292"/>
      <c r="L455" s="298"/>
      <c r="M455" s="292"/>
      <c r="N455" s="292"/>
    </row>
    <row r="456" spans="1:14" ht="15.75">
      <c r="A456" s="319"/>
      <c r="B456" s="333"/>
      <c r="C456" s="322"/>
      <c r="D456" s="322"/>
      <c r="H456" s="292"/>
      <c r="I456" s="292"/>
      <c r="J456" s="298"/>
      <c r="K456" s="292"/>
      <c r="L456" s="298"/>
      <c r="M456" s="292"/>
      <c r="N456" s="292"/>
    </row>
    <row r="457" spans="1:14" ht="15.75">
      <c r="A457" s="319"/>
      <c r="B457" s="333"/>
      <c r="C457" s="322"/>
      <c r="D457" s="322"/>
      <c r="H457" s="292"/>
      <c r="I457" s="292"/>
      <c r="J457" s="298"/>
      <c r="K457" s="292"/>
      <c r="L457" s="298"/>
      <c r="M457" s="292"/>
      <c r="N457" s="292"/>
    </row>
    <row r="458" spans="1:14" ht="15.75">
      <c r="A458" s="319"/>
      <c r="B458" s="333"/>
      <c r="C458" s="322"/>
      <c r="D458" s="322"/>
      <c r="H458" s="292"/>
      <c r="I458" s="292"/>
      <c r="J458" s="298"/>
      <c r="K458" s="292"/>
      <c r="L458" s="298"/>
      <c r="M458" s="292"/>
      <c r="N458" s="292"/>
    </row>
    <row r="459" spans="1:14" ht="15.75">
      <c r="A459" s="319"/>
      <c r="B459" s="333"/>
      <c r="C459" s="322"/>
      <c r="D459" s="322"/>
      <c r="H459" s="292"/>
      <c r="I459" s="292"/>
      <c r="J459" s="298"/>
      <c r="K459" s="292"/>
      <c r="L459" s="298"/>
      <c r="M459" s="292"/>
      <c r="N459" s="292"/>
    </row>
    <row r="460" spans="1:14" ht="15.75">
      <c r="A460" s="319"/>
      <c r="B460" s="333"/>
      <c r="C460" s="322"/>
      <c r="D460" s="322"/>
      <c r="H460" s="292"/>
      <c r="I460" s="292"/>
      <c r="J460" s="298"/>
      <c r="K460" s="292"/>
      <c r="L460" s="298"/>
      <c r="M460" s="292"/>
      <c r="N460" s="292"/>
    </row>
    <row r="461" spans="1:14" ht="15.75">
      <c r="A461" s="319"/>
      <c r="B461" s="333"/>
      <c r="C461" s="322"/>
      <c r="D461" s="322"/>
      <c r="H461" s="292"/>
      <c r="I461" s="292"/>
      <c r="J461" s="298"/>
      <c r="K461" s="292"/>
      <c r="L461" s="298"/>
      <c r="M461" s="292"/>
      <c r="N461" s="292"/>
    </row>
    <row r="462" spans="1:14" ht="15.75">
      <c r="A462" s="319"/>
      <c r="B462" s="333"/>
      <c r="C462" s="322"/>
      <c r="D462" s="322"/>
      <c r="H462" s="292"/>
      <c r="I462" s="292"/>
      <c r="J462" s="298"/>
      <c r="K462" s="292"/>
      <c r="L462" s="298"/>
      <c r="M462" s="292"/>
      <c r="N462" s="292"/>
    </row>
    <row r="463" spans="1:14" ht="15.75">
      <c r="A463" s="319"/>
      <c r="B463" s="333"/>
      <c r="C463" s="322"/>
      <c r="D463" s="322"/>
      <c r="H463" s="292"/>
      <c r="I463" s="292"/>
      <c r="J463" s="298"/>
      <c r="K463" s="292"/>
      <c r="L463" s="298"/>
      <c r="M463" s="292"/>
      <c r="N463" s="292"/>
    </row>
    <row r="464" spans="1:14" ht="15.75">
      <c r="A464" s="319"/>
      <c r="B464" s="333"/>
      <c r="C464" s="322"/>
      <c r="D464" s="322"/>
      <c r="H464" s="292"/>
      <c r="I464" s="292"/>
      <c r="J464" s="298"/>
      <c r="K464" s="292"/>
      <c r="L464" s="298"/>
      <c r="M464" s="292"/>
      <c r="N464" s="292"/>
    </row>
    <row r="465" spans="1:14" ht="15.75">
      <c r="A465" s="319"/>
      <c r="B465" s="333"/>
      <c r="C465" s="322"/>
      <c r="D465" s="322"/>
      <c r="H465" s="292"/>
      <c r="I465" s="292"/>
      <c r="J465" s="298"/>
      <c r="K465" s="292"/>
      <c r="L465" s="298"/>
      <c r="M465" s="292"/>
      <c r="N465" s="292"/>
    </row>
    <row r="466" spans="1:14" ht="15.75">
      <c r="A466" s="319"/>
      <c r="B466" s="333"/>
      <c r="C466" s="322"/>
      <c r="D466" s="322"/>
      <c r="H466" s="292"/>
      <c r="I466" s="292"/>
      <c r="J466" s="298"/>
      <c r="K466" s="292"/>
      <c r="L466" s="298"/>
      <c r="M466" s="292"/>
      <c r="N466" s="292"/>
    </row>
    <row r="467" spans="1:14" ht="15.75">
      <c r="A467" s="319"/>
      <c r="B467" s="333"/>
      <c r="C467" s="322"/>
      <c r="D467" s="322"/>
      <c r="H467" s="292"/>
      <c r="I467" s="292"/>
      <c r="J467" s="298"/>
      <c r="K467" s="292"/>
      <c r="L467" s="298"/>
      <c r="M467" s="292"/>
      <c r="N467" s="292"/>
    </row>
    <row r="468" spans="1:14" ht="15.75">
      <c r="A468" s="319"/>
      <c r="B468" s="333"/>
      <c r="C468" s="322"/>
      <c r="D468" s="322"/>
      <c r="H468" s="292"/>
      <c r="I468" s="292"/>
      <c r="J468" s="298"/>
      <c r="K468" s="292"/>
      <c r="L468" s="298"/>
      <c r="M468" s="292"/>
      <c r="N468" s="292"/>
    </row>
    <row r="469" spans="1:14" ht="15.75">
      <c r="A469" s="319"/>
      <c r="B469" s="333"/>
      <c r="C469" s="322"/>
      <c r="D469" s="322"/>
      <c r="H469" s="292"/>
      <c r="I469" s="292"/>
      <c r="J469" s="298"/>
      <c r="K469" s="292"/>
      <c r="L469" s="298"/>
      <c r="M469" s="292"/>
      <c r="N469" s="292"/>
    </row>
    <row r="470" spans="1:14" ht="15.75">
      <c r="A470" s="319"/>
      <c r="B470" s="333"/>
      <c r="C470" s="322"/>
      <c r="D470" s="322"/>
      <c r="H470" s="292"/>
      <c r="I470" s="292"/>
      <c r="J470" s="298"/>
      <c r="K470" s="292"/>
      <c r="L470" s="298"/>
      <c r="M470" s="292"/>
      <c r="N470" s="292"/>
    </row>
    <row r="471" spans="1:14" ht="15.75">
      <c r="A471" s="319"/>
      <c r="B471" s="333"/>
      <c r="C471" s="322"/>
      <c r="D471" s="322"/>
      <c r="H471" s="292"/>
      <c r="I471" s="292"/>
      <c r="J471" s="298"/>
      <c r="K471" s="292"/>
      <c r="L471" s="298"/>
      <c r="M471" s="292"/>
      <c r="N471" s="292"/>
    </row>
    <row r="472" spans="1:14" ht="15.75">
      <c r="A472" s="319"/>
      <c r="B472" s="333"/>
      <c r="C472" s="322"/>
      <c r="D472" s="322"/>
      <c r="H472" s="292"/>
      <c r="I472" s="292"/>
      <c r="J472" s="298"/>
      <c r="K472" s="292"/>
      <c r="L472" s="298"/>
      <c r="M472" s="292"/>
      <c r="N472" s="292"/>
    </row>
    <row r="473" spans="1:14" ht="15.75">
      <c r="A473" s="319"/>
      <c r="B473" s="333"/>
      <c r="C473" s="322"/>
      <c r="D473" s="322"/>
      <c r="H473" s="292"/>
      <c r="I473" s="292"/>
      <c r="J473" s="298"/>
      <c r="K473" s="292"/>
      <c r="L473" s="298"/>
      <c r="M473" s="292"/>
      <c r="N473" s="292"/>
    </row>
    <row r="474" spans="1:14" ht="15.75">
      <c r="A474" s="319"/>
      <c r="B474" s="333"/>
      <c r="C474" s="322"/>
      <c r="D474" s="322"/>
      <c r="H474" s="292"/>
      <c r="I474" s="292"/>
      <c r="J474" s="298"/>
      <c r="K474" s="292"/>
      <c r="L474" s="298"/>
      <c r="M474" s="292"/>
      <c r="N474" s="292"/>
    </row>
    <row r="475" spans="1:14" ht="15.75">
      <c r="A475" s="319"/>
      <c r="B475" s="333"/>
      <c r="C475" s="322"/>
      <c r="D475" s="322"/>
      <c r="H475" s="292"/>
      <c r="I475" s="292"/>
      <c r="J475" s="298"/>
      <c r="K475" s="292"/>
      <c r="L475" s="298"/>
      <c r="M475" s="292"/>
      <c r="N475" s="292"/>
    </row>
    <row r="476" spans="1:14" ht="15.75">
      <c r="A476" s="319"/>
      <c r="B476" s="333"/>
      <c r="C476" s="322"/>
      <c r="D476" s="322"/>
      <c r="H476" s="292"/>
      <c r="I476" s="292"/>
      <c r="J476" s="298"/>
      <c r="K476" s="292"/>
      <c r="L476" s="298"/>
      <c r="M476" s="292"/>
      <c r="N476" s="292"/>
    </row>
    <row r="477" spans="1:14" ht="15.75">
      <c r="A477" s="319"/>
      <c r="B477" s="333"/>
      <c r="C477" s="322"/>
      <c r="D477" s="322"/>
      <c r="H477" s="292"/>
      <c r="I477" s="292"/>
      <c r="J477" s="298"/>
      <c r="K477" s="292"/>
      <c r="L477" s="298"/>
      <c r="M477" s="292"/>
      <c r="N477" s="292"/>
    </row>
    <row r="478" spans="1:14" ht="15.75">
      <c r="A478" s="319"/>
      <c r="B478" s="333"/>
      <c r="C478" s="322"/>
      <c r="D478" s="322"/>
      <c r="H478" s="292"/>
      <c r="I478" s="292"/>
      <c r="J478" s="298"/>
      <c r="K478" s="292"/>
      <c r="L478" s="298"/>
      <c r="M478" s="292"/>
      <c r="N478" s="292"/>
    </row>
    <row r="479" spans="1:14" ht="15.75">
      <c r="A479" s="319"/>
      <c r="B479" s="333"/>
      <c r="C479" s="322"/>
      <c r="D479" s="322"/>
      <c r="H479" s="292"/>
      <c r="I479" s="292"/>
      <c r="J479" s="298"/>
      <c r="K479" s="292"/>
      <c r="L479" s="298"/>
      <c r="M479" s="292"/>
      <c r="N479" s="292"/>
    </row>
    <row r="480" spans="1:14" ht="15.75">
      <c r="A480" s="319"/>
      <c r="B480" s="333"/>
      <c r="C480" s="322"/>
      <c r="D480" s="322"/>
      <c r="H480" s="292"/>
      <c r="I480" s="292"/>
      <c r="J480" s="298"/>
      <c r="K480" s="292"/>
      <c r="L480" s="298"/>
      <c r="M480" s="292"/>
      <c r="N480" s="292"/>
    </row>
    <row r="481" spans="1:14" ht="15.75">
      <c r="A481" s="319"/>
      <c r="B481" s="333"/>
      <c r="C481" s="322"/>
      <c r="D481" s="322"/>
      <c r="H481" s="292"/>
      <c r="I481" s="292"/>
      <c r="J481" s="298"/>
      <c r="K481" s="292"/>
      <c r="L481" s="298"/>
      <c r="M481" s="292"/>
      <c r="N481" s="292"/>
    </row>
    <row r="482" spans="1:14" ht="15.75">
      <c r="A482" s="319"/>
      <c r="B482" s="333"/>
      <c r="C482" s="322"/>
      <c r="D482" s="322"/>
      <c r="H482" s="292"/>
      <c r="I482" s="292"/>
      <c r="J482" s="298"/>
      <c r="K482" s="292"/>
      <c r="L482" s="298"/>
      <c r="M482" s="292"/>
      <c r="N482" s="292"/>
    </row>
    <row r="483" spans="1:14" ht="15.75">
      <c r="A483" s="319"/>
      <c r="B483" s="333"/>
      <c r="C483" s="322"/>
      <c r="D483" s="322"/>
      <c r="H483" s="292"/>
      <c r="I483" s="292"/>
      <c r="J483" s="298"/>
      <c r="K483" s="292"/>
      <c r="L483" s="298"/>
      <c r="M483" s="292"/>
      <c r="N483" s="292"/>
    </row>
    <row r="484" spans="1:14" ht="15.75">
      <c r="A484" s="319"/>
      <c r="B484" s="333"/>
      <c r="C484" s="322"/>
      <c r="D484" s="322"/>
      <c r="H484" s="292"/>
      <c r="I484" s="292"/>
      <c r="J484" s="298"/>
      <c r="K484" s="292"/>
      <c r="L484" s="298"/>
      <c r="M484" s="292"/>
      <c r="N484" s="292"/>
    </row>
    <row r="485" spans="1:14" ht="15.75">
      <c r="A485" s="319"/>
      <c r="B485" s="333"/>
      <c r="C485" s="322"/>
      <c r="D485" s="322"/>
      <c r="H485" s="292"/>
      <c r="I485" s="292"/>
      <c r="J485" s="298"/>
      <c r="K485" s="292"/>
      <c r="L485" s="298"/>
      <c r="M485" s="292"/>
      <c r="N485" s="292"/>
    </row>
    <row r="486" spans="1:14" ht="15.75">
      <c r="A486" s="319"/>
      <c r="B486" s="333"/>
      <c r="C486" s="322"/>
      <c r="D486" s="322"/>
      <c r="H486" s="292"/>
      <c r="I486" s="292"/>
      <c r="J486" s="298"/>
      <c r="K486" s="292"/>
      <c r="L486" s="298"/>
      <c r="M486" s="292"/>
      <c r="N486" s="292"/>
    </row>
    <row r="487" spans="1:14" ht="15.75">
      <c r="A487" s="319"/>
      <c r="B487" s="333"/>
      <c r="C487" s="322"/>
      <c r="D487" s="322"/>
      <c r="H487" s="292"/>
      <c r="I487" s="292"/>
      <c r="J487" s="298"/>
      <c r="K487" s="292"/>
      <c r="L487" s="298"/>
      <c r="M487" s="292"/>
      <c r="N487" s="292"/>
    </row>
    <row r="488" spans="1:14" ht="15.75">
      <c r="A488" s="319"/>
      <c r="B488" s="333"/>
      <c r="C488" s="322"/>
      <c r="D488" s="322"/>
      <c r="H488" s="292"/>
      <c r="I488" s="292"/>
      <c r="J488" s="298"/>
      <c r="K488" s="292"/>
      <c r="L488" s="298"/>
      <c r="M488" s="292"/>
      <c r="N488" s="292"/>
    </row>
    <row r="489" spans="1:14" ht="15.75">
      <c r="A489" s="319"/>
      <c r="B489" s="333"/>
      <c r="C489" s="322"/>
      <c r="D489" s="322"/>
      <c r="H489" s="292"/>
      <c r="I489" s="292"/>
      <c r="J489" s="298"/>
      <c r="K489" s="292"/>
      <c r="L489" s="298"/>
      <c r="M489" s="292"/>
      <c r="N489" s="292"/>
    </row>
    <row r="490" spans="1:14" ht="15.75">
      <c r="A490" s="319"/>
      <c r="B490" s="333"/>
      <c r="C490" s="322"/>
      <c r="D490" s="322"/>
      <c r="H490" s="292"/>
      <c r="I490" s="292"/>
      <c r="J490" s="298"/>
      <c r="K490" s="292"/>
      <c r="L490" s="298"/>
      <c r="M490" s="292"/>
      <c r="N490" s="292"/>
    </row>
    <row r="491" spans="1:14" ht="15.75">
      <c r="A491" s="319"/>
      <c r="B491" s="333"/>
      <c r="C491" s="322"/>
      <c r="D491" s="322"/>
      <c r="H491" s="292"/>
      <c r="I491" s="292"/>
      <c r="J491" s="298"/>
      <c r="K491" s="292"/>
      <c r="L491" s="298"/>
      <c r="M491" s="292"/>
      <c r="N491" s="292"/>
    </row>
    <row r="492" spans="1:14" ht="15.75">
      <c r="A492" s="319"/>
      <c r="B492" s="333"/>
      <c r="C492" s="322"/>
      <c r="D492" s="322"/>
      <c r="H492" s="292"/>
      <c r="I492" s="292"/>
      <c r="J492" s="298"/>
      <c r="K492" s="292"/>
      <c r="L492" s="298"/>
      <c r="M492" s="292"/>
      <c r="N492" s="292"/>
    </row>
    <row r="493" spans="1:14" ht="15.75">
      <c r="A493" s="319"/>
      <c r="B493" s="333"/>
      <c r="C493" s="322"/>
      <c r="D493" s="322"/>
      <c r="H493" s="292"/>
      <c r="I493" s="292"/>
      <c r="J493" s="298"/>
      <c r="K493" s="292"/>
      <c r="L493" s="298"/>
      <c r="M493" s="292"/>
      <c r="N493" s="292"/>
    </row>
    <row r="494" spans="1:14" ht="15.75">
      <c r="A494" s="319"/>
      <c r="B494" s="333"/>
      <c r="C494" s="322"/>
      <c r="D494" s="322"/>
      <c r="H494" s="292"/>
      <c r="I494" s="292"/>
      <c r="J494" s="298"/>
      <c r="K494" s="292"/>
      <c r="L494" s="298"/>
      <c r="M494" s="292"/>
      <c r="N494" s="292"/>
    </row>
    <row r="495" spans="1:14" ht="15.75">
      <c r="A495" s="319"/>
      <c r="B495" s="333"/>
      <c r="C495" s="322"/>
      <c r="D495" s="322"/>
      <c r="H495" s="292"/>
      <c r="I495" s="292"/>
      <c r="J495" s="298"/>
      <c r="K495" s="292"/>
      <c r="L495" s="298"/>
      <c r="M495" s="292"/>
      <c r="N495" s="292"/>
    </row>
    <row r="496" spans="1:14" ht="15.75">
      <c r="A496" s="319"/>
      <c r="B496" s="333"/>
      <c r="C496" s="322"/>
      <c r="D496" s="322"/>
      <c r="H496" s="292"/>
      <c r="I496" s="292"/>
      <c r="J496" s="298"/>
      <c r="K496" s="292"/>
      <c r="L496" s="298"/>
      <c r="M496" s="292"/>
      <c r="N496" s="292"/>
    </row>
    <row r="497" spans="1:14" ht="15.75">
      <c r="A497" s="319"/>
      <c r="B497" s="333"/>
      <c r="C497" s="322"/>
      <c r="D497" s="322"/>
      <c r="H497" s="292"/>
      <c r="I497" s="292"/>
      <c r="J497" s="298"/>
      <c r="K497" s="292"/>
      <c r="L497" s="298"/>
      <c r="M497" s="292"/>
      <c r="N497" s="292"/>
    </row>
    <row r="498" spans="1:14" ht="15.75">
      <c r="A498" s="319"/>
      <c r="B498" s="333"/>
      <c r="C498" s="322"/>
      <c r="D498" s="322"/>
      <c r="H498" s="292"/>
      <c r="I498" s="292"/>
      <c r="J498" s="298"/>
      <c r="K498" s="292"/>
      <c r="L498" s="298"/>
      <c r="M498" s="292"/>
      <c r="N498" s="292"/>
    </row>
    <row r="499" spans="1:14" ht="15.75">
      <c r="A499" s="319"/>
      <c r="B499" s="333"/>
      <c r="C499" s="322"/>
      <c r="D499" s="322"/>
      <c r="H499" s="292"/>
      <c r="I499" s="292"/>
      <c r="J499" s="298"/>
      <c r="K499" s="292"/>
      <c r="L499" s="298"/>
      <c r="M499" s="292"/>
      <c r="N499" s="292"/>
    </row>
    <row r="500" spans="1:14" ht="15.75">
      <c r="A500" s="319"/>
      <c r="B500" s="333"/>
      <c r="C500" s="322"/>
      <c r="D500" s="322"/>
      <c r="H500" s="292"/>
      <c r="I500" s="292"/>
      <c r="J500" s="298"/>
      <c r="K500" s="292"/>
      <c r="L500" s="298"/>
      <c r="M500" s="292"/>
      <c r="N500" s="292"/>
    </row>
    <row r="501" spans="1:14" ht="15.75">
      <c r="A501" s="319"/>
      <c r="B501" s="333"/>
      <c r="C501" s="322"/>
      <c r="D501" s="322"/>
      <c r="H501" s="292"/>
      <c r="I501" s="292"/>
      <c r="J501" s="298"/>
      <c r="K501" s="292"/>
      <c r="L501" s="298"/>
      <c r="M501" s="292"/>
      <c r="N501" s="292"/>
    </row>
    <row r="502" spans="1:14" ht="15.75">
      <c r="A502" s="319"/>
      <c r="B502" s="333"/>
      <c r="C502" s="322"/>
      <c r="D502" s="322"/>
      <c r="H502" s="292"/>
      <c r="I502" s="292"/>
      <c r="J502" s="298"/>
      <c r="K502" s="292"/>
      <c r="L502" s="298"/>
      <c r="M502" s="292"/>
      <c r="N502" s="292"/>
    </row>
    <row r="503" spans="1:14" ht="15.75">
      <c r="A503" s="319"/>
      <c r="B503" s="333"/>
      <c r="C503" s="322"/>
      <c r="D503" s="322"/>
      <c r="H503" s="292"/>
      <c r="I503" s="292"/>
      <c r="J503" s="298"/>
      <c r="K503" s="292"/>
      <c r="L503" s="298"/>
      <c r="M503" s="292"/>
      <c r="N503" s="292"/>
    </row>
    <row r="504" spans="1:14" ht="15.75">
      <c r="A504" s="319"/>
      <c r="B504" s="333"/>
      <c r="C504" s="322"/>
      <c r="D504" s="322"/>
      <c r="H504" s="292"/>
      <c r="I504" s="292"/>
      <c r="J504" s="298"/>
      <c r="K504" s="292"/>
      <c r="L504" s="298"/>
      <c r="M504" s="292"/>
      <c r="N504" s="292"/>
    </row>
    <row r="505" spans="1:14" ht="15.75">
      <c r="A505" s="319"/>
      <c r="B505" s="333"/>
      <c r="C505" s="322"/>
      <c r="D505" s="322"/>
      <c r="H505" s="292"/>
      <c r="I505" s="292"/>
      <c r="J505" s="298"/>
      <c r="K505" s="292"/>
      <c r="L505" s="298"/>
      <c r="M505" s="292"/>
      <c r="N505" s="292"/>
    </row>
    <row r="506" spans="1:14" ht="15.75">
      <c r="A506" s="319"/>
      <c r="B506" s="333"/>
      <c r="C506" s="322"/>
      <c r="D506" s="322"/>
      <c r="H506" s="292"/>
      <c r="I506" s="292"/>
      <c r="J506" s="298"/>
      <c r="K506" s="292"/>
      <c r="L506" s="298"/>
      <c r="M506" s="292"/>
      <c r="N506" s="292"/>
    </row>
    <row r="507" spans="1:14" ht="15.75">
      <c r="A507" s="319"/>
      <c r="B507" s="333"/>
      <c r="C507" s="322"/>
      <c r="D507" s="322"/>
      <c r="H507" s="292"/>
      <c r="I507" s="292"/>
      <c r="J507" s="298"/>
      <c r="K507" s="292"/>
      <c r="L507" s="298"/>
      <c r="M507" s="292"/>
      <c r="N507" s="292"/>
    </row>
    <row r="508" spans="1:14" ht="15.75">
      <c r="A508" s="319"/>
      <c r="B508" s="333"/>
      <c r="C508" s="322"/>
      <c r="D508" s="322"/>
      <c r="H508" s="292"/>
      <c r="I508" s="292"/>
      <c r="J508" s="298"/>
      <c r="K508" s="292"/>
      <c r="L508" s="298"/>
      <c r="M508" s="292"/>
      <c r="N508" s="292"/>
    </row>
    <row r="509" spans="1:14" ht="15.75">
      <c r="A509" s="319"/>
      <c r="B509" s="333"/>
      <c r="C509" s="322"/>
      <c r="D509" s="322"/>
      <c r="H509" s="292"/>
      <c r="I509" s="292"/>
      <c r="J509" s="298"/>
      <c r="K509" s="292"/>
      <c r="L509" s="298"/>
      <c r="M509" s="292"/>
      <c r="N509" s="292"/>
    </row>
    <row r="510" spans="1:14" ht="15.75">
      <c r="A510" s="319"/>
      <c r="B510" s="333"/>
      <c r="C510" s="322"/>
      <c r="D510" s="322"/>
      <c r="H510" s="292"/>
      <c r="I510" s="292"/>
      <c r="J510" s="298"/>
      <c r="K510" s="292"/>
      <c r="L510" s="298"/>
      <c r="M510" s="292"/>
      <c r="N510" s="292"/>
    </row>
    <row r="511" spans="1:14" ht="15.75">
      <c r="A511" s="319"/>
      <c r="B511" s="333"/>
      <c r="C511" s="322"/>
      <c r="D511" s="322"/>
      <c r="H511" s="292"/>
      <c r="I511" s="292"/>
      <c r="J511" s="298"/>
      <c r="K511" s="292"/>
      <c r="L511" s="298"/>
      <c r="M511" s="292"/>
      <c r="N511" s="292"/>
    </row>
    <row r="512" spans="1:14" ht="15.75">
      <c r="A512" s="319"/>
      <c r="B512" s="333"/>
      <c r="C512" s="322"/>
      <c r="D512" s="322"/>
      <c r="H512" s="292"/>
      <c r="I512" s="292"/>
      <c r="J512" s="298"/>
      <c r="K512" s="292"/>
      <c r="L512" s="298"/>
      <c r="M512" s="292"/>
      <c r="N512" s="292"/>
    </row>
    <row r="513" spans="1:14" ht="15.75">
      <c r="A513" s="319"/>
      <c r="B513" s="333"/>
      <c r="C513" s="322"/>
      <c r="D513" s="322"/>
      <c r="H513" s="292"/>
      <c r="I513" s="292"/>
      <c r="J513" s="298"/>
      <c r="K513" s="292"/>
      <c r="L513" s="298"/>
      <c r="M513" s="292"/>
      <c r="N513" s="292"/>
    </row>
    <row r="514" spans="1:14" ht="15.75">
      <c r="A514" s="319"/>
      <c r="B514" s="333"/>
      <c r="C514" s="322"/>
      <c r="D514" s="322"/>
      <c r="H514" s="292"/>
      <c r="I514" s="292"/>
      <c r="J514" s="298"/>
      <c r="K514" s="292"/>
      <c r="L514" s="298"/>
      <c r="M514" s="292"/>
      <c r="N514" s="292"/>
    </row>
    <row r="515" spans="1:14" ht="15.75">
      <c r="A515" s="319"/>
      <c r="B515" s="333"/>
      <c r="C515" s="322"/>
      <c r="D515" s="322"/>
      <c r="H515" s="292"/>
      <c r="I515" s="292"/>
      <c r="J515" s="298"/>
      <c r="K515" s="292"/>
      <c r="L515" s="298"/>
      <c r="M515" s="292"/>
      <c r="N515" s="292"/>
    </row>
    <row r="516" spans="1:14" ht="15.75">
      <c r="A516" s="319"/>
      <c r="B516" s="333"/>
      <c r="C516" s="322"/>
      <c r="D516" s="322"/>
      <c r="H516" s="292"/>
      <c r="I516" s="292"/>
      <c r="J516" s="298"/>
      <c r="K516" s="292"/>
      <c r="L516" s="298"/>
      <c r="M516" s="292"/>
      <c r="N516" s="292"/>
    </row>
    <row r="517" spans="1:14" ht="15.75">
      <c r="A517" s="319"/>
      <c r="B517" s="333"/>
      <c r="C517" s="322"/>
      <c r="D517" s="322"/>
      <c r="H517" s="292"/>
      <c r="I517" s="292"/>
      <c r="J517" s="298"/>
      <c r="K517" s="292"/>
      <c r="L517" s="298"/>
      <c r="M517" s="292"/>
      <c r="N517" s="292"/>
    </row>
    <row r="518" spans="1:14" ht="15.75">
      <c r="A518" s="319"/>
      <c r="B518" s="333"/>
      <c r="C518" s="322"/>
      <c r="D518" s="322"/>
      <c r="H518" s="292"/>
      <c r="I518" s="292"/>
      <c r="J518" s="298"/>
      <c r="K518" s="292"/>
      <c r="L518" s="298"/>
      <c r="M518" s="292"/>
      <c r="N518" s="292"/>
    </row>
    <row r="519" spans="1:14" ht="15.75">
      <c r="A519" s="319"/>
      <c r="B519" s="333"/>
      <c r="C519" s="322"/>
      <c r="D519" s="322"/>
      <c r="H519" s="292"/>
      <c r="I519" s="292"/>
      <c r="J519" s="298"/>
      <c r="K519" s="292"/>
      <c r="L519" s="298"/>
      <c r="M519" s="292"/>
      <c r="N519" s="292"/>
    </row>
    <row r="520" spans="1:14" ht="15.75">
      <c r="A520" s="319"/>
      <c r="B520" s="333"/>
      <c r="C520" s="322"/>
      <c r="D520" s="322"/>
      <c r="H520" s="292"/>
      <c r="I520" s="292"/>
      <c r="J520" s="298"/>
      <c r="K520" s="292"/>
      <c r="L520" s="298"/>
      <c r="M520" s="292"/>
      <c r="N520" s="292"/>
    </row>
    <row r="521" spans="1:14" ht="15.75">
      <c r="A521" s="319"/>
      <c r="B521" s="333"/>
      <c r="C521" s="322"/>
      <c r="D521" s="322"/>
      <c r="H521" s="292"/>
      <c r="I521" s="292"/>
      <c r="J521" s="298"/>
      <c r="K521" s="292"/>
      <c r="L521" s="298"/>
      <c r="M521" s="292"/>
      <c r="N521" s="292"/>
    </row>
    <row r="522" spans="1:14" ht="15.75">
      <c r="A522" s="319"/>
      <c r="B522" s="333"/>
      <c r="C522" s="322"/>
      <c r="D522" s="322"/>
      <c r="H522" s="292"/>
      <c r="I522" s="292"/>
      <c r="J522" s="298"/>
      <c r="K522" s="292"/>
      <c r="L522" s="298"/>
      <c r="M522" s="292"/>
      <c r="N522" s="292"/>
    </row>
    <row r="523" spans="1:14" ht="15.75">
      <c r="A523" s="319"/>
      <c r="B523" s="333"/>
      <c r="C523" s="322"/>
      <c r="D523" s="322"/>
      <c r="H523" s="292"/>
      <c r="I523" s="292"/>
      <c r="J523" s="298"/>
      <c r="K523" s="292"/>
      <c r="L523" s="298"/>
      <c r="M523" s="292"/>
      <c r="N523" s="292"/>
    </row>
    <row r="524" spans="1:14" ht="15.75">
      <c r="A524" s="319"/>
      <c r="B524" s="333"/>
      <c r="C524" s="322"/>
      <c r="D524" s="322"/>
      <c r="H524" s="292"/>
      <c r="I524" s="292"/>
      <c r="J524" s="298"/>
      <c r="K524" s="292"/>
      <c r="L524" s="298"/>
      <c r="M524" s="292"/>
      <c r="N524" s="292"/>
    </row>
    <row r="525" spans="1:14" ht="15.75">
      <c r="A525" s="319"/>
      <c r="B525" s="333"/>
      <c r="C525" s="322"/>
      <c r="D525" s="322"/>
      <c r="H525" s="292"/>
      <c r="I525" s="292"/>
      <c r="J525" s="298"/>
      <c r="K525" s="292"/>
      <c r="L525" s="298"/>
      <c r="M525" s="292"/>
      <c r="N525" s="292"/>
    </row>
    <row r="526" spans="1:14" ht="15.75">
      <c r="A526" s="319"/>
      <c r="B526" s="333"/>
      <c r="C526" s="322"/>
      <c r="D526" s="322"/>
      <c r="H526" s="292"/>
      <c r="I526" s="292"/>
      <c r="J526" s="298"/>
      <c r="K526" s="292"/>
      <c r="L526" s="298"/>
      <c r="M526" s="292"/>
      <c r="N526" s="292"/>
    </row>
    <row r="527" spans="1:14" ht="15.75">
      <c r="A527" s="319"/>
      <c r="B527" s="333"/>
      <c r="C527" s="322"/>
      <c r="D527" s="322"/>
      <c r="H527" s="292"/>
      <c r="I527" s="292"/>
      <c r="J527" s="298"/>
      <c r="K527" s="292"/>
      <c r="L527" s="298"/>
      <c r="M527" s="292"/>
      <c r="N527" s="292"/>
    </row>
    <row r="528" spans="1:14" ht="15.75">
      <c r="A528" s="319"/>
      <c r="B528" s="333"/>
      <c r="C528" s="322"/>
      <c r="D528" s="322"/>
      <c r="H528" s="292"/>
      <c r="I528" s="292"/>
      <c r="J528" s="298"/>
      <c r="K528" s="292"/>
      <c r="L528" s="298"/>
      <c r="M528" s="292"/>
      <c r="N528" s="292"/>
    </row>
    <row r="529" spans="1:14" ht="15.75">
      <c r="A529" s="319"/>
      <c r="B529" s="333"/>
      <c r="C529" s="322"/>
      <c r="D529" s="322"/>
      <c r="H529" s="292"/>
      <c r="I529" s="292"/>
      <c r="J529" s="298"/>
      <c r="K529" s="292"/>
      <c r="L529" s="298"/>
      <c r="M529" s="292"/>
      <c r="N529" s="292"/>
    </row>
    <row r="530" spans="1:14" ht="15.75">
      <c r="A530" s="319"/>
      <c r="B530" s="333"/>
      <c r="C530" s="322"/>
      <c r="D530" s="322"/>
      <c r="H530" s="292"/>
      <c r="I530" s="292"/>
      <c r="J530" s="298"/>
      <c r="K530" s="292"/>
      <c r="L530" s="298"/>
      <c r="M530" s="292"/>
      <c r="N530" s="292"/>
    </row>
    <row r="531" spans="1:14" ht="15.75">
      <c r="A531" s="319"/>
      <c r="B531" s="333"/>
      <c r="C531" s="322"/>
      <c r="D531" s="322"/>
      <c r="H531" s="292"/>
      <c r="I531" s="292"/>
      <c r="J531" s="298"/>
      <c r="K531" s="292"/>
      <c r="L531" s="298"/>
      <c r="M531" s="292"/>
      <c r="N531" s="292"/>
    </row>
    <row r="532" spans="1:14" ht="15.75">
      <c r="A532" s="319"/>
      <c r="B532" s="333"/>
      <c r="C532" s="322"/>
      <c r="D532" s="322"/>
      <c r="H532" s="292"/>
      <c r="I532" s="292"/>
      <c r="J532" s="298"/>
      <c r="K532" s="292"/>
      <c r="L532" s="298"/>
      <c r="M532" s="292"/>
      <c r="N532" s="292"/>
    </row>
    <row r="533" spans="1:14" ht="15.75">
      <c r="A533" s="319"/>
      <c r="B533" s="333"/>
      <c r="C533" s="322"/>
      <c r="D533" s="322"/>
      <c r="H533" s="292"/>
      <c r="I533" s="292"/>
      <c r="J533" s="298"/>
      <c r="K533" s="292"/>
      <c r="L533" s="298"/>
      <c r="M533" s="292"/>
      <c r="N533" s="292"/>
    </row>
    <row r="534" spans="1:14" ht="15.75">
      <c r="A534" s="319"/>
      <c r="B534" s="333"/>
      <c r="C534" s="322"/>
      <c r="D534" s="322"/>
      <c r="H534" s="292"/>
      <c r="I534" s="292"/>
      <c r="J534" s="298"/>
      <c r="K534" s="292"/>
      <c r="L534" s="298"/>
      <c r="M534" s="292"/>
      <c r="N534" s="292"/>
    </row>
    <row r="535" spans="1:14" ht="15.75">
      <c r="A535" s="319"/>
      <c r="B535" s="333"/>
      <c r="C535" s="322"/>
      <c r="D535" s="322"/>
      <c r="H535" s="292"/>
      <c r="I535" s="292"/>
      <c r="J535" s="298"/>
      <c r="K535" s="292"/>
      <c r="L535" s="298"/>
      <c r="M535" s="292"/>
      <c r="N535" s="292"/>
    </row>
    <row r="536" spans="1:14" ht="15.75">
      <c r="A536" s="319"/>
      <c r="B536" s="333"/>
      <c r="C536" s="322"/>
      <c r="D536" s="322"/>
      <c r="H536" s="292"/>
      <c r="I536" s="292"/>
      <c r="J536" s="298"/>
      <c r="K536" s="292"/>
      <c r="L536" s="298"/>
      <c r="M536" s="292"/>
      <c r="N536" s="292"/>
    </row>
    <row r="537" spans="1:14" ht="15.75">
      <c r="A537" s="319"/>
      <c r="B537" s="333"/>
      <c r="C537" s="322"/>
      <c r="D537" s="322"/>
      <c r="H537" s="292"/>
      <c r="I537" s="292"/>
      <c r="J537" s="298"/>
      <c r="K537" s="292"/>
      <c r="L537" s="298"/>
      <c r="M537" s="292"/>
      <c r="N537" s="292"/>
    </row>
    <row r="538" spans="1:14" ht="15.75">
      <c r="A538" s="319"/>
      <c r="B538" s="333"/>
      <c r="C538" s="322"/>
      <c r="D538" s="322"/>
      <c r="H538" s="292"/>
      <c r="I538" s="292"/>
      <c r="J538" s="298"/>
      <c r="K538" s="292"/>
      <c r="L538" s="298"/>
      <c r="M538" s="292"/>
      <c r="N538" s="292"/>
    </row>
    <row r="539" spans="1:14" ht="15.75">
      <c r="A539" s="319"/>
      <c r="B539" s="333"/>
      <c r="C539" s="322"/>
      <c r="D539" s="322"/>
      <c r="H539" s="292"/>
      <c r="I539" s="292"/>
      <c r="J539" s="298"/>
      <c r="K539" s="292"/>
      <c r="L539" s="298"/>
      <c r="M539" s="292"/>
      <c r="N539" s="292"/>
    </row>
    <row r="540" spans="1:14" ht="15.75">
      <c r="A540" s="319"/>
      <c r="B540" s="333"/>
      <c r="C540" s="322"/>
      <c r="D540" s="322"/>
      <c r="H540" s="292"/>
      <c r="I540" s="292"/>
      <c r="J540" s="298"/>
      <c r="K540" s="292"/>
      <c r="L540" s="298"/>
      <c r="M540" s="292"/>
      <c r="N540" s="292"/>
    </row>
    <row r="541" spans="1:14" ht="15.75">
      <c r="A541" s="319"/>
      <c r="B541" s="333"/>
      <c r="C541" s="322"/>
      <c r="D541" s="322"/>
      <c r="H541" s="292"/>
      <c r="I541" s="292"/>
      <c r="J541" s="298"/>
      <c r="K541" s="292"/>
      <c r="L541" s="298"/>
      <c r="M541" s="292"/>
      <c r="N541" s="292"/>
    </row>
    <row r="542" spans="1:14" ht="15.75">
      <c r="A542" s="319"/>
      <c r="B542" s="333"/>
      <c r="C542" s="322"/>
      <c r="D542" s="322"/>
      <c r="H542" s="292"/>
      <c r="I542" s="292"/>
      <c r="J542" s="298"/>
      <c r="K542" s="292"/>
      <c r="L542" s="298"/>
      <c r="M542" s="292"/>
      <c r="N542" s="292"/>
    </row>
    <row r="543" spans="1:14" ht="15.75">
      <c r="A543" s="319"/>
      <c r="B543" s="333"/>
      <c r="C543" s="322"/>
      <c r="D543" s="322"/>
      <c r="H543" s="292"/>
      <c r="I543" s="292"/>
      <c r="J543" s="298"/>
      <c r="K543" s="292"/>
      <c r="L543" s="298"/>
      <c r="M543" s="292"/>
      <c r="N543" s="292"/>
    </row>
    <row r="544" spans="1:14" ht="15.75">
      <c r="A544" s="319"/>
      <c r="B544" s="333"/>
      <c r="C544" s="322"/>
      <c r="D544" s="322"/>
      <c r="H544" s="292"/>
      <c r="I544" s="292"/>
      <c r="J544" s="298"/>
      <c r="K544" s="292"/>
      <c r="L544" s="298"/>
      <c r="M544" s="292"/>
      <c r="N544" s="292"/>
    </row>
    <row r="545" spans="1:14" ht="15.75">
      <c r="A545" s="319"/>
      <c r="B545" s="333"/>
      <c r="C545" s="322"/>
      <c r="D545" s="322"/>
      <c r="H545" s="292"/>
      <c r="I545" s="292"/>
      <c r="J545" s="298"/>
      <c r="K545" s="292"/>
      <c r="L545" s="298"/>
      <c r="M545" s="292"/>
      <c r="N545" s="292"/>
    </row>
    <row r="546" spans="1:14" ht="15.75">
      <c r="A546" s="319"/>
      <c r="B546" s="333"/>
      <c r="C546" s="322"/>
      <c r="D546" s="322"/>
      <c r="H546" s="292"/>
      <c r="I546" s="292"/>
      <c r="J546" s="298"/>
      <c r="K546" s="292"/>
      <c r="L546" s="298"/>
      <c r="M546" s="292"/>
      <c r="N546" s="292"/>
    </row>
    <row r="547" spans="1:14" ht="15.75">
      <c r="A547" s="319"/>
      <c r="B547" s="333"/>
      <c r="C547" s="322"/>
      <c r="D547" s="322"/>
      <c r="H547" s="292"/>
      <c r="I547" s="292"/>
      <c r="J547" s="298"/>
      <c r="K547" s="292"/>
      <c r="L547" s="298"/>
      <c r="M547" s="292"/>
      <c r="N547" s="292"/>
    </row>
    <row r="548" spans="1:14" ht="15.75">
      <c r="A548" s="319"/>
      <c r="B548" s="333"/>
      <c r="C548" s="322"/>
      <c r="D548" s="322"/>
      <c r="H548" s="292"/>
      <c r="I548" s="292"/>
      <c r="J548" s="298"/>
      <c r="K548" s="292"/>
      <c r="L548" s="298"/>
      <c r="M548" s="292"/>
      <c r="N548" s="292"/>
    </row>
    <row r="549" spans="1:14" ht="15.75">
      <c r="A549" s="319"/>
      <c r="B549" s="333"/>
      <c r="C549" s="322"/>
      <c r="D549" s="322"/>
      <c r="H549" s="292"/>
      <c r="I549" s="292"/>
      <c r="J549" s="298"/>
      <c r="K549" s="292"/>
      <c r="L549" s="298"/>
      <c r="M549" s="292"/>
      <c r="N549" s="292"/>
    </row>
    <row r="550" spans="1:14" ht="15.75">
      <c r="A550" s="319"/>
      <c r="B550" s="333"/>
      <c r="C550" s="322"/>
      <c r="D550" s="322"/>
      <c r="H550" s="292"/>
      <c r="I550" s="292"/>
      <c r="J550" s="298"/>
      <c r="K550" s="292"/>
      <c r="L550" s="298"/>
      <c r="M550" s="292"/>
      <c r="N550" s="292"/>
    </row>
    <row r="551" spans="1:14" ht="15.75">
      <c r="A551" s="319"/>
      <c r="B551" s="333"/>
      <c r="C551" s="322"/>
      <c r="D551" s="322"/>
      <c r="H551" s="292"/>
      <c r="I551" s="292"/>
      <c r="J551" s="298"/>
      <c r="K551" s="292"/>
      <c r="L551" s="298"/>
      <c r="M551" s="292"/>
      <c r="N551" s="292"/>
    </row>
    <row r="552" spans="1:14" ht="15.75">
      <c r="A552" s="319"/>
      <c r="B552" s="333"/>
      <c r="C552" s="322"/>
      <c r="D552" s="322"/>
      <c r="H552" s="292"/>
      <c r="I552" s="292"/>
      <c r="J552" s="298"/>
      <c r="K552" s="292"/>
      <c r="L552" s="298"/>
      <c r="M552" s="292"/>
      <c r="N552" s="292"/>
    </row>
    <row r="553" spans="1:14" ht="15.75">
      <c r="A553" s="319"/>
      <c r="B553" s="333"/>
      <c r="C553" s="322"/>
      <c r="D553" s="322"/>
      <c r="H553" s="292"/>
      <c r="I553" s="292"/>
      <c r="J553" s="298"/>
      <c r="K553" s="292"/>
      <c r="L553" s="298"/>
      <c r="M553" s="292"/>
      <c r="N553" s="292"/>
    </row>
    <row r="554" spans="1:14" ht="15.75">
      <c r="A554" s="319"/>
      <c r="B554" s="333"/>
      <c r="C554" s="322"/>
      <c r="D554" s="322"/>
      <c r="H554" s="292"/>
      <c r="I554" s="292"/>
      <c r="J554" s="298"/>
      <c r="K554" s="292"/>
      <c r="L554" s="298"/>
      <c r="M554" s="292"/>
      <c r="N554" s="292"/>
    </row>
    <row r="555" spans="1:14" ht="15.75">
      <c r="A555" s="319"/>
      <c r="B555" s="333"/>
      <c r="C555" s="322"/>
      <c r="D555" s="322"/>
      <c r="H555" s="292"/>
      <c r="I555" s="292"/>
      <c r="J555" s="298"/>
      <c r="K555" s="292"/>
      <c r="L555" s="298"/>
      <c r="M555" s="292"/>
      <c r="N555" s="292"/>
    </row>
    <row r="556" spans="1:14" ht="15.75">
      <c r="A556" s="319"/>
      <c r="B556" s="333"/>
      <c r="C556" s="322"/>
      <c r="D556" s="322"/>
      <c r="H556" s="292"/>
      <c r="I556" s="292"/>
      <c r="J556" s="298"/>
      <c r="K556" s="292"/>
      <c r="L556" s="298"/>
      <c r="M556" s="292"/>
      <c r="N556" s="292"/>
    </row>
    <row r="557" spans="1:14" ht="15.75">
      <c r="A557" s="319"/>
      <c r="B557" s="333"/>
      <c r="C557" s="322"/>
      <c r="D557" s="322"/>
      <c r="H557" s="292"/>
      <c r="I557" s="292"/>
      <c r="J557" s="298"/>
      <c r="K557" s="292"/>
      <c r="L557" s="298"/>
      <c r="M557" s="292"/>
      <c r="N557" s="292"/>
    </row>
    <row r="558" spans="1:14" ht="15.75">
      <c r="A558" s="319"/>
      <c r="B558" s="333"/>
      <c r="C558" s="322"/>
      <c r="D558" s="322"/>
      <c r="H558" s="292"/>
      <c r="I558" s="292"/>
      <c r="J558" s="298"/>
      <c r="K558" s="292"/>
      <c r="L558" s="298"/>
      <c r="M558" s="292"/>
      <c r="N558" s="292"/>
    </row>
    <row r="559" spans="1:14" ht="15.75">
      <c r="A559" s="319"/>
      <c r="B559" s="333"/>
      <c r="C559" s="322"/>
      <c r="D559" s="322"/>
      <c r="H559" s="292"/>
      <c r="I559" s="292"/>
      <c r="J559" s="298"/>
      <c r="K559" s="292"/>
      <c r="L559" s="298"/>
      <c r="M559" s="292"/>
      <c r="N559" s="292"/>
    </row>
    <row r="560" spans="1:14" ht="15.75">
      <c r="A560" s="319"/>
      <c r="B560" s="333"/>
      <c r="C560" s="322"/>
      <c r="D560" s="322"/>
      <c r="H560" s="292"/>
      <c r="I560" s="292"/>
      <c r="J560" s="298"/>
      <c r="K560" s="292"/>
      <c r="L560" s="298"/>
      <c r="M560" s="292"/>
      <c r="N560" s="292"/>
    </row>
    <row r="561" spans="1:14" ht="15.75">
      <c r="A561" s="319"/>
      <c r="B561" s="333"/>
      <c r="C561" s="322"/>
      <c r="D561" s="322"/>
      <c r="H561" s="292"/>
      <c r="I561" s="292"/>
      <c r="J561" s="298"/>
      <c r="K561" s="292"/>
      <c r="L561" s="298"/>
      <c r="M561" s="292"/>
      <c r="N561" s="292"/>
    </row>
    <row r="562" spans="1:14" ht="15.75">
      <c r="A562" s="319"/>
      <c r="B562" s="333"/>
      <c r="C562" s="322"/>
      <c r="D562" s="322"/>
      <c r="H562" s="292"/>
      <c r="I562" s="292"/>
      <c r="J562" s="298"/>
      <c r="K562" s="292"/>
      <c r="L562" s="298"/>
      <c r="M562" s="292"/>
      <c r="N562" s="292"/>
    </row>
    <row r="563" spans="1:14" ht="15.75">
      <c r="A563" s="319"/>
      <c r="B563" s="333"/>
      <c r="C563" s="322"/>
      <c r="D563" s="322"/>
      <c r="H563" s="292"/>
      <c r="I563" s="292"/>
      <c r="J563" s="298"/>
      <c r="K563" s="292"/>
      <c r="L563" s="298"/>
      <c r="M563" s="292"/>
      <c r="N563" s="292"/>
    </row>
    <row r="564" spans="1:14" ht="15.75">
      <c r="A564" s="319"/>
      <c r="B564" s="333"/>
      <c r="C564" s="322"/>
      <c r="D564" s="322"/>
      <c r="H564" s="292"/>
      <c r="I564" s="292"/>
      <c r="J564" s="298"/>
      <c r="K564" s="292"/>
      <c r="L564" s="298"/>
      <c r="M564" s="292"/>
      <c r="N564" s="292"/>
    </row>
    <row r="565" spans="1:14" ht="15.75">
      <c r="A565" s="319"/>
      <c r="B565" s="333"/>
      <c r="C565" s="322"/>
      <c r="D565" s="322"/>
      <c r="H565" s="292"/>
      <c r="I565" s="292"/>
      <c r="J565" s="298"/>
      <c r="K565" s="292"/>
      <c r="L565" s="298"/>
      <c r="M565" s="292"/>
      <c r="N565" s="292"/>
    </row>
    <row r="566" spans="1:14" ht="15.75">
      <c r="A566" s="319"/>
      <c r="B566" s="333"/>
      <c r="C566" s="322"/>
      <c r="D566" s="322"/>
      <c r="H566" s="292"/>
      <c r="I566" s="292"/>
      <c r="J566" s="298"/>
      <c r="K566" s="292"/>
      <c r="L566" s="298"/>
      <c r="M566" s="292"/>
      <c r="N566" s="292"/>
    </row>
    <row r="567" spans="1:14" ht="15.75">
      <c r="A567" s="319"/>
      <c r="B567" s="333"/>
      <c r="C567" s="322"/>
      <c r="D567" s="322"/>
      <c r="H567" s="292"/>
      <c r="I567" s="292"/>
      <c r="J567" s="298"/>
      <c r="K567" s="292"/>
      <c r="L567" s="298"/>
      <c r="M567" s="292"/>
      <c r="N567" s="292"/>
    </row>
    <row r="568" spans="1:14" ht="15.75">
      <c r="A568" s="319"/>
      <c r="B568" s="333"/>
      <c r="C568" s="322"/>
      <c r="D568" s="322"/>
      <c r="H568" s="292"/>
      <c r="I568" s="292"/>
      <c r="J568" s="298"/>
      <c r="K568" s="292"/>
      <c r="L568" s="298"/>
      <c r="M568" s="292"/>
      <c r="N568" s="292"/>
    </row>
    <row r="569" spans="1:14" ht="15.75">
      <c r="A569" s="319"/>
      <c r="B569" s="333"/>
      <c r="C569" s="322"/>
      <c r="D569" s="322"/>
      <c r="H569" s="292"/>
      <c r="I569" s="292"/>
      <c r="J569" s="298"/>
      <c r="K569" s="292"/>
      <c r="L569" s="298"/>
      <c r="M569" s="292"/>
      <c r="N569" s="292"/>
    </row>
    <row r="570" spans="1:14" ht="15.75">
      <c r="A570" s="319"/>
      <c r="B570" s="333"/>
      <c r="C570" s="322"/>
      <c r="D570" s="322"/>
      <c r="H570" s="292"/>
      <c r="I570" s="292"/>
      <c r="J570" s="298"/>
      <c r="K570" s="292"/>
      <c r="L570" s="298"/>
      <c r="M570" s="292"/>
      <c r="N570" s="292"/>
    </row>
    <row r="571" spans="1:14" ht="15.75">
      <c r="A571" s="319"/>
      <c r="B571" s="333"/>
      <c r="C571" s="322"/>
      <c r="D571" s="322"/>
      <c r="H571" s="292"/>
      <c r="I571" s="292"/>
      <c r="J571" s="298"/>
      <c r="K571" s="292"/>
      <c r="L571" s="298"/>
      <c r="M571" s="292"/>
      <c r="N571" s="292"/>
    </row>
    <row r="572" spans="1:14" ht="15.75">
      <c r="A572" s="319"/>
      <c r="B572" s="333"/>
      <c r="C572" s="322"/>
      <c r="D572" s="322"/>
      <c r="H572" s="292"/>
      <c r="I572" s="292"/>
      <c r="J572" s="298"/>
      <c r="K572" s="292"/>
      <c r="L572" s="298"/>
      <c r="M572" s="292"/>
      <c r="N572" s="292"/>
    </row>
    <row r="573" spans="1:14" ht="15.75">
      <c r="A573" s="319"/>
      <c r="B573" s="333"/>
      <c r="C573" s="322"/>
      <c r="D573" s="322"/>
      <c r="H573" s="292"/>
      <c r="I573" s="292"/>
      <c r="J573" s="298"/>
      <c r="K573" s="292"/>
      <c r="L573" s="298"/>
      <c r="M573" s="292"/>
      <c r="N573" s="292"/>
    </row>
    <row r="574" spans="1:14" ht="15.75">
      <c r="A574" s="319"/>
      <c r="B574" s="333"/>
      <c r="C574" s="322"/>
      <c r="D574" s="322"/>
      <c r="H574" s="292"/>
      <c r="I574" s="292"/>
      <c r="J574" s="298"/>
      <c r="K574" s="292"/>
      <c r="L574" s="298"/>
      <c r="M574" s="292"/>
      <c r="N574" s="292"/>
    </row>
    <row r="575" spans="1:14" ht="15.75">
      <c r="A575" s="319"/>
      <c r="B575" s="333"/>
      <c r="C575" s="322"/>
      <c r="D575" s="322"/>
      <c r="H575" s="292"/>
      <c r="I575" s="292"/>
      <c r="J575" s="298"/>
      <c r="K575" s="292"/>
      <c r="L575" s="298"/>
      <c r="M575" s="292"/>
      <c r="N575" s="292"/>
    </row>
    <row r="576" spans="1:14" ht="15.75">
      <c r="A576" s="319"/>
      <c r="B576" s="333"/>
      <c r="C576" s="322"/>
      <c r="D576" s="322"/>
      <c r="H576" s="292"/>
      <c r="I576" s="292"/>
      <c r="J576" s="298"/>
      <c r="K576" s="292"/>
      <c r="L576" s="298"/>
      <c r="M576" s="292"/>
      <c r="N576" s="292"/>
    </row>
    <row r="577" spans="1:14" ht="15.75">
      <c r="A577" s="319"/>
      <c r="B577" s="333"/>
      <c r="C577" s="322"/>
      <c r="D577" s="322"/>
      <c r="H577" s="292"/>
      <c r="I577" s="292"/>
      <c r="J577" s="298"/>
      <c r="K577" s="292"/>
      <c r="L577" s="298"/>
      <c r="M577" s="292"/>
      <c r="N577" s="292"/>
    </row>
    <row r="578" spans="1:14" ht="15.75">
      <c r="A578" s="319"/>
      <c r="B578" s="333"/>
      <c r="C578" s="322"/>
      <c r="D578" s="322"/>
      <c r="H578" s="292"/>
      <c r="I578" s="292"/>
      <c r="J578" s="298"/>
      <c r="K578" s="292"/>
      <c r="L578" s="298"/>
      <c r="M578" s="292"/>
      <c r="N578" s="292"/>
    </row>
    <row r="579" spans="1:14" ht="15.75">
      <c r="A579" s="319"/>
      <c r="B579" s="333"/>
      <c r="C579" s="322"/>
      <c r="D579" s="322"/>
      <c r="H579" s="292"/>
      <c r="I579" s="292"/>
      <c r="J579" s="298"/>
      <c r="K579" s="292"/>
      <c r="L579" s="298"/>
      <c r="M579" s="292"/>
      <c r="N579" s="292"/>
    </row>
    <row r="580" spans="1:14" ht="15.75">
      <c r="A580" s="319"/>
      <c r="B580" s="333"/>
      <c r="C580" s="322"/>
      <c r="D580" s="322"/>
      <c r="H580" s="292"/>
      <c r="I580" s="292"/>
      <c r="J580" s="298"/>
      <c r="K580" s="292"/>
      <c r="L580" s="298"/>
      <c r="M580" s="292"/>
      <c r="N580" s="292"/>
    </row>
    <row r="581" spans="1:14" ht="15.75">
      <c r="A581" s="319"/>
      <c r="B581" s="333"/>
      <c r="C581" s="322"/>
      <c r="D581" s="322"/>
      <c r="H581" s="292"/>
      <c r="I581" s="292"/>
      <c r="J581" s="298"/>
      <c r="K581" s="292"/>
      <c r="L581" s="298"/>
      <c r="M581" s="292"/>
      <c r="N581" s="292"/>
    </row>
    <row r="582" spans="1:14" ht="15.75">
      <c r="A582" s="319"/>
      <c r="B582" s="333"/>
      <c r="C582" s="322"/>
      <c r="D582" s="322"/>
      <c r="H582" s="292"/>
      <c r="I582" s="292"/>
      <c r="J582" s="298"/>
      <c r="K582" s="292"/>
      <c r="L582" s="298"/>
      <c r="M582" s="292"/>
      <c r="N582" s="292"/>
    </row>
    <row r="583" spans="1:14" ht="15.75">
      <c r="A583" s="319"/>
      <c r="B583" s="333"/>
      <c r="C583" s="322"/>
      <c r="D583" s="322"/>
      <c r="H583" s="292"/>
      <c r="I583" s="292"/>
      <c r="J583" s="298"/>
      <c r="K583" s="292"/>
      <c r="L583" s="298"/>
      <c r="M583" s="292"/>
      <c r="N583" s="292"/>
    </row>
    <row r="584" spans="1:14" ht="15.75">
      <c r="A584" s="319"/>
      <c r="B584" s="333"/>
      <c r="C584" s="322"/>
      <c r="D584" s="322"/>
      <c r="H584" s="292"/>
      <c r="I584" s="292"/>
      <c r="J584" s="298"/>
      <c r="K584" s="292"/>
      <c r="L584" s="298"/>
      <c r="M584" s="292"/>
      <c r="N584" s="292"/>
    </row>
    <row r="585" spans="1:14" ht="15.75">
      <c r="A585" s="319"/>
      <c r="B585" s="333"/>
      <c r="C585" s="322"/>
      <c r="D585" s="322"/>
      <c r="H585" s="292"/>
      <c r="I585" s="292"/>
      <c r="J585" s="298"/>
      <c r="K585" s="292"/>
      <c r="L585" s="298"/>
      <c r="M585" s="292"/>
      <c r="N585" s="292"/>
    </row>
    <row r="586" spans="1:14" ht="15.75">
      <c r="A586" s="319"/>
      <c r="B586" s="333"/>
      <c r="C586" s="322"/>
      <c r="D586" s="322"/>
      <c r="H586" s="292"/>
      <c r="I586" s="292"/>
      <c r="J586" s="298"/>
      <c r="K586" s="292"/>
      <c r="L586" s="298"/>
      <c r="M586" s="292"/>
      <c r="N586" s="292"/>
    </row>
    <row r="587" spans="1:14" ht="15.75">
      <c r="A587" s="319"/>
      <c r="B587" s="333"/>
      <c r="C587" s="322"/>
      <c r="D587" s="322"/>
      <c r="H587" s="292"/>
      <c r="I587" s="292"/>
      <c r="J587" s="298"/>
      <c r="K587" s="292"/>
      <c r="L587" s="298"/>
      <c r="M587" s="292"/>
      <c r="N587" s="292"/>
    </row>
    <row r="588" spans="1:14" ht="15.75">
      <c r="A588" s="319"/>
      <c r="B588" s="333"/>
      <c r="C588" s="322"/>
      <c r="D588" s="322"/>
      <c r="H588" s="292"/>
      <c r="I588" s="292"/>
      <c r="J588" s="298"/>
      <c r="K588" s="292"/>
      <c r="L588" s="298"/>
      <c r="M588" s="292"/>
      <c r="N588" s="292"/>
    </row>
    <row r="589" spans="1:14" ht="15.75">
      <c r="A589" s="319"/>
      <c r="B589" s="333"/>
      <c r="C589" s="322"/>
      <c r="D589" s="322"/>
      <c r="H589" s="292"/>
      <c r="I589" s="292"/>
      <c r="J589" s="298"/>
      <c r="K589" s="292"/>
      <c r="L589" s="298"/>
      <c r="M589" s="292"/>
      <c r="N589" s="292"/>
    </row>
    <row r="590" spans="1:14" ht="15.75">
      <c r="A590" s="319"/>
      <c r="B590" s="333"/>
      <c r="C590" s="322"/>
      <c r="D590" s="322"/>
      <c r="H590" s="292"/>
      <c r="I590" s="292"/>
      <c r="J590" s="298"/>
      <c r="K590" s="292"/>
      <c r="L590" s="298"/>
      <c r="M590" s="292"/>
      <c r="N590" s="292"/>
    </row>
    <row r="591" spans="1:14" ht="15.75">
      <c r="A591" s="319"/>
      <c r="B591" s="333"/>
      <c r="C591" s="322"/>
      <c r="D591" s="322"/>
      <c r="H591" s="292"/>
      <c r="I591" s="292"/>
      <c r="J591" s="298"/>
      <c r="K591" s="292"/>
      <c r="L591" s="298"/>
      <c r="M591" s="292"/>
      <c r="N591" s="292"/>
    </row>
    <row r="592" spans="1:14" ht="15.75">
      <c r="A592" s="319"/>
      <c r="B592" s="333"/>
      <c r="C592" s="322"/>
      <c r="D592" s="322"/>
      <c r="H592" s="292"/>
      <c r="I592" s="292"/>
      <c r="J592" s="298"/>
      <c r="K592" s="292"/>
      <c r="L592" s="298"/>
      <c r="M592" s="292"/>
      <c r="N592" s="292"/>
    </row>
    <row r="593" spans="1:14" ht="15.75">
      <c r="A593" s="319"/>
      <c r="B593" s="333"/>
      <c r="C593" s="322"/>
      <c r="D593" s="322"/>
      <c r="H593" s="292"/>
      <c r="I593" s="292"/>
      <c r="J593" s="298"/>
      <c r="K593" s="292"/>
      <c r="L593" s="298"/>
      <c r="M593" s="292"/>
      <c r="N593" s="292"/>
    </row>
    <row r="594" spans="1:14" ht="15.75">
      <c r="A594" s="319"/>
      <c r="B594" s="333"/>
      <c r="C594" s="322"/>
      <c r="D594" s="322"/>
      <c r="H594" s="292"/>
      <c r="I594" s="292"/>
      <c r="J594" s="298"/>
      <c r="K594" s="292"/>
      <c r="L594" s="298"/>
      <c r="M594" s="292"/>
      <c r="N594" s="292"/>
    </row>
    <row r="595" spans="1:14" ht="15.75">
      <c r="A595" s="319"/>
      <c r="B595" s="333"/>
      <c r="C595" s="322"/>
      <c r="D595" s="322"/>
      <c r="H595" s="292"/>
      <c r="I595" s="292"/>
      <c r="J595" s="298"/>
      <c r="K595" s="292"/>
      <c r="L595" s="298"/>
      <c r="M595" s="292"/>
      <c r="N595" s="292"/>
    </row>
    <row r="596" spans="1:14" ht="15.75">
      <c r="A596" s="319"/>
      <c r="B596" s="333"/>
      <c r="C596" s="322"/>
      <c r="D596" s="322"/>
      <c r="H596" s="292"/>
      <c r="I596" s="292"/>
      <c r="J596" s="298"/>
      <c r="K596" s="292"/>
      <c r="L596" s="298"/>
      <c r="M596" s="292"/>
      <c r="N596" s="292"/>
    </row>
    <row r="597" spans="1:14" ht="15.75">
      <c r="A597" s="319"/>
      <c r="B597" s="333"/>
      <c r="C597" s="322"/>
      <c r="D597" s="322"/>
      <c r="H597" s="292"/>
      <c r="I597" s="292"/>
      <c r="J597" s="298"/>
      <c r="K597" s="292"/>
      <c r="L597" s="298"/>
      <c r="M597" s="292"/>
      <c r="N597" s="292"/>
    </row>
    <row r="598" spans="1:14" ht="15.75">
      <c r="A598" s="319"/>
      <c r="B598" s="333"/>
      <c r="C598" s="322"/>
      <c r="D598" s="322"/>
      <c r="H598" s="292"/>
      <c r="I598" s="292"/>
      <c r="J598" s="298"/>
      <c r="K598" s="292"/>
      <c r="L598" s="298"/>
      <c r="M598" s="292"/>
      <c r="N598" s="292"/>
    </row>
    <row r="599" spans="1:14" ht="15.75">
      <c r="A599" s="319"/>
      <c r="B599" s="333"/>
      <c r="C599" s="322"/>
      <c r="D599" s="322"/>
      <c r="H599" s="292"/>
      <c r="I599" s="292"/>
      <c r="J599" s="298"/>
      <c r="K599" s="292"/>
      <c r="L599" s="298"/>
      <c r="M599" s="292"/>
      <c r="N599" s="292"/>
    </row>
    <row r="600" spans="1:14" ht="15.75">
      <c r="A600" s="319"/>
      <c r="B600" s="333"/>
      <c r="C600" s="322"/>
      <c r="D600" s="322"/>
      <c r="H600" s="292"/>
      <c r="I600" s="292"/>
      <c r="J600" s="298"/>
      <c r="K600" s="292"/>
      <c r="L600" s="298"/>
      <c r="M600" s="292"/>
      <c r="N600" s="292"/>
    </row>
    <row r="601" spans="1:14" ht="15.75">
      <c r="A601" s="319"/>
      <c r="B601" s="333"/>
      <c r="C601" s="322"/>
      <c r="D601" s="322"/>
      <c r="H601" s="292"/>
      <c r="I601" s="292"/>
      <c r="J601" s="298"/>
      <c r="K601" s="292"/>
      <c r="L601" s="298"/>
      <c r="M601" s="292"/>
      <c r="N601" s="292"/>
    </row>
    <row r="602" spans="1:14" ht="15.75">
      <c r="A602" s="319"/>
      <c r="B602" s="333"/>
      <c r="C602" s="322"/>
      <c r="D602" s="322"/>
      <c r="H602" s="292"/>
      <c r="I602" s="292"/>
      <c r="J602" s="298"/>
      <c r="K602" s="292"/>
      <c r="L602" s="298"/>
      <c r="M602" s="292"/>
      <c r="N602" s="292"/>
    </row>
    <row r="603" spans="1:14" ht="15.75">
      <c r="A603" s="319"/>
      <c r="B603" s="333"/>
      <c r="C603" s="322"/>
      <c r="D603" s="322"/>
      <c r="H603" s="292"/>
      <c r="I603" s="292"/>
      <c r="J603" s="298"/>
      <c r="K603" s="292"/>
      <c r="L603" s="298"/>
      <c r="M603" s="292"/>
      <c r="N603" s="292"/>
    </row>
    <row r="604" spans="1:14" ht="15.75">
      <c r="A604" s="319"/>
      <c r="B604" s="333"/>
      <c r="C604" s="322"/>
      <c r="D604" s="322"/>
      <c r="H604" s="292"/>
      <c r="I604" s="292"/>
      <c r="J604" s="298"/>
      <c r="K604" s="292"/>
      <c r="L604" s="298"/>
      <c r="M604" s="292"/>
      <c r="N604" s="292"/>
    </row>
    <row r="605" spans="1:14" ht="15.75">
      <c r="A605" s="319"/>
      <c r="B605" s="333"/>
      <c r="C605" s="322"/>
      <c r="D605" s="322"/>
      <c r="H605" s="292"/>
      <c r="I605" s="292"/>
      <c r="J605" s="298"/>
      <c r="K605" s="292"/>
      <c r="L605" s="298"/>
      <c r="M605" s="292"/>
      <c r="N605" s="292"/>
    </row>
    <row r="606" spans="1:14" ht="15.75">
      <c r="A606" s="319"/>
      <c r="B606" s="333"/>
      <c r="C606" s="322"/>
      <c r="D606" s="322"/>
      <c r="H606" s="292"/>
      <c r="I606" s="292"/>
      <c r="J606" s="298"/>
      <c r="K606" s="292"/>
      <c r="L606" s="298"/>
      <c r="M606" s="292"/>
      <c r="N606" s="292"/>
    </row>
    <row r="607" spans="1:14" ht="15.75">
      <c r="A607" s="319"/>
      <c r="B607" s="333"/>
      <c r="C607" s="322"/>
      <c r="D607" s="322"/>
      <c r="H607" s="292"/>
      <c r="I607" s="292"/>
      <c r="J607" s="298"/>
      <c r="K607" s="292"/>
      <c r="L607" s="298"/>
      <c r="M607" s="292"/>
      <c r="N607" s="292"/>
    </row>
    <row r="608" spans="1:14" ht="15.75">
      <c r="A608" s="319"/>
      <c r="B608" s="333"/>
      <c r="C608" s="322"/>
      <c r="D608" s="322"/>
      <c r="H608" s="292"/>
      <c r="I608" s="292"/>
      <c r="J608" s="298"/>
      <c r="K608" s="292"/>
      <c r="L608" s="298"/>
      <c r="M608" s="292"/>
      <c r="N608" s="292"/>
    </row>
    <row r="609" spans="1:14" ht="15.75">
      <c r="A609" s="319"/>
      <c r="B609" s="333"/>
      <c r="C609" s="322"/>
      <c r="D609" s="322"/>
      <c r="H609" s="292"/>
      <c r="I609" s="292"/>
      <c r="J609" s="298"/>
      <c r="K609" s="292"/>
      <c r="L609" s="298"/>
      <c r="M609" s="292"/>
      <c r="N609" s="292"/>
    </row>
    <row r="610" spans="1:14" ht="15.75">
      <c r="A610" s="319"/>
      <c r="B610" s="333"/>
      <c r="C610" s="322"/>
      <c r="D610" s="322"/>
      <c r="H610" s="292"/>
      <c r="I610" s="292"/>
      <c r="J610" s="298"/>
      <c r="K610" s="292"/>
      <c r="L610" s="298"/>
      <c r="M610" s="292"/>
      <c r="N610" s="292"/>
    </row>
    <row r="611" spans="1:14" ht="15.75">
      <c r="A611" s="319"/>
      <c r="B611" s="333"/>
      <c r="C611" s="322"/>
      <c r="D611" s="322"/>
      <c r="H611" s="292"/>
      <c r="I611" s="292"/>
      <c r="J611" s="298"/>
      <c r="K611" s="292"/>
      <c r="L611" s="298"/>
      <c r="M611" s="292"/>
      <c r="N611" s="292"/>
    </row>
    <row r="612" spans="1:14" ht="15.75">
      <c r="A612" s="319"/>
      <c r="B612" s="333"/>
      <c r="C612" s="322"/>
      <c r="D612" s="322"/>
      <c r="H612" s="292"/>
      <c r="I612" s="292"/>
      <c r="J612" s="298"/>
      <c r="K612" s="292"/>
      <c r="L612" s="298"/>
      <c r="M612" s="292"/>
      <c r="N612" s="292"/>
    </row>
    <row r="613" spans="1:14" ht="15.75">
      <c r="A613" s="319"/>
      <c r="B613" s="333"/>
      <c r="C613" s="322"/>
      <c r="D613" s="322"/>
      <c r="H613" s="292"/>
      <c r="I613" s="292"/>
      <c r="J613" s="298"/>
      <c r="K613" s="292"/>
      <c r="L613" s="298"/>
      <c r="M613" s="292"/>
      <c r="N613" s="292"/>
    </row>
    <row r="614" spans="1:14" ht="15.75">
      <c r="A614" s="319"/>
      <c r="B614" s="333"/>
      <c r="C614" s="322"/>
      <c r="D614" s="322"/>
      <c r="H614" s="292"/>
      <c r="I614" s="292"/>
      <c r="J614" s="298"/>
      <c r="K614" s="292"/>
      <c r="L614" s="298"/>
      <c r="M614" s="292"/>
      <c r="N614" s="292"/>
    </row>
    <row r="615" spans="1:14" ht="15.75">
      <c r="A615" s="319"/>
      <c r="B615" s="333"/>
      <c r="C615" s="322"/>
      <c r="D615" s="322"/>
      <c r="H615" s="292"/>
      <c r="I615" s="292"/>
      <c r="J615" s="298"/>
      <c r="K615" s="292"/>
      <c r="L615" s="298"/>
      <c r="M615" s="292"/>
      <c r="N615" s="292"/>
    </row>
    <row r="616" spans="1:14" ht="15.75">
      <c r="A616" s="319"/>
      <c r="B616" s="333"/>
      <c r="C616" s="322"/>
      <c r="D616" s="322"/>
      <c r="H616" s="292"/>
      <c r="I616" s="292"/>
      <c r="J616" s="298"/>
      <c r="K616" s="292"/>
      <c r="L616" s="298"/>
      <c r="M616" s="292"/>
      <c r="N616" s="292"/>
    </row>
    <row r="617" spans="1:14" ht="15.75">
      <c r="A617" s="319"/>
      <c r="B617" s="333"/>
      <c r="C617" s="322"/>
      <c r="D617" s="322"/>
      <c r="H617" s="292"/>
      <c r="I617" s="292"/>
      <c r="J617" s="298"/>
      <c r="K617" s="292"/>
      <c r="L617" s="298"/>
      <c r="M617" s="292"/>
      <c r="N617" s="292"/>
    </row>
    <row r="618" spans="1:14" ht="15.75">
      <c r="A618" s="319"/>
      <c r="B618" s="333"/>
      <c r="C618" s="322"/>
      <c r="D618" s="322"/>
      <c r="H618" s="292"/>
      <c r="I618" s="292"/>
      <c r="J618" s="298"/>
      <c r="K618" s="292"/>
      <c r="L618" s="298"/>
      <c r="M618" s="292"/>
      <c r="N618" s="292"/>
    </row>
    <row r="619" spans="1:14" ht="15.75">
      <c r="A619" s="319"/>
      <c r="B619" s="333"/>
      <c r="C619" s="322"/>
      <c r="D619" s="322"/>
      <c r="H619" s="292"/>
      <c r="I619" s="292"/>
      <c r="J619" s="298"/>
      <c r="K619" s="292"/>
      <c r="L619" s="298"/>
      <c r="M619" s="292"/>
      <c r="N619" s="292"/>
    </row>
    <row r="620" spans="1:14" ht="15.75">
      <c r="A620" s="319"/>
      <c r="B620" s="333"/>
      <c r="C620" s="322"/>
      <c r="D620" s="322"/>
      <c r="H620" s="292"/>
      <c r="I620" s="292"/>
      <c r="J620" s="298"/>
      <c r="K620" s="292"/>
      <c r="L620" s="298"/>
      <c r="M620" s="292"/>
      <c r="N620" s="292"/>
    </row>
    <row r="621" spans="1:14" ht="15.75">
      <c r="A621" s="319"/>
      <c r="B621" s="333"/>
      <c r="C621" s="322"/>
      <c r="D621" s="322"/>
      <c r="H621" s="292"/>
      <c r="I621" s="292"/>
      <c r="J621" s="298"/>
      <c r="K621" s="292"/>
      <c r="L621" s="298"/>
      <c r="M621" s="292"/>
      <c r="N621" s="292"/>
    </row>
    <row r="622" spans="1:14" ht="15.75">
      <c r="A622" s="319"/>
      <c r="B622" s="333"/>
      <c r="C622" s="322"/>
      <c r="D622" s="322"/>
      <c r="H622" s="292"/>
      <c r="I622" s="292"/>
      <c r="J622" s="298"/>
      <c r="K622" s="292"/>
      <c r="L622" s="298"/>
      <c r="M622" s="292"/>
      <c r="N622" s="292"/>
    </row>
    <row r="623" spans="1:14" ht="15.75">
      <c r="A623" s="319"/>
      <c r="B623" s="333"/>
      <c r="C623" s="322"/>
      <c r="D623" s="322"/>
      <c r="H623" s="292"/>
      <c r="I623" s="292"/>
      <c r="J623" s="298"/>
      <c r="K623" s="292"/>
      <c r="L623" s="298"/>
      <c r="M623" s="292"/>
      <c r="N623" s="292"/>
    </row>
    <row r="624" spans="1:14" ht="15.75">
      <c r="A624" s="319"/>
      <c r="B624" s="333"/>
      <c r="C624" s="322"/>
      <c r="D624" s="322"/>
      <c r="H624" s="292"/>
      <c r="I624" s="292"/>
      <c r="J624" s="298"/>
      <c r="K624" s="292"/>
      <c r="L624" s="298"/>
      <c r="M624" s="292"/>
      <c r="N624" s="292"/>
    </row>
    <row r="625" spans="1:14" ht="15.75">
      <c r="A625" s="319"/>
      <c r="B625" s="333"/>
      <c r="C625" s="322"/>
      <c r="D625" s="322"/>
      <c r="H625" s="292"/>
      <c r="I625" s="292"/>
      <c r="J625" s="298"/>
      <c r="K625" s="292"/>
      <c r="L625" s="298"/>
      <c r="M625" s="292"/>
      <c r="N625" s="292"/>
    </row>
    <row r="626" spans="1:14" ht="15.75">
      <c r="A626" s="319"/>
      <c r="B626" s="333"/>
      <c r="C626" s="322"/>
      <c r="D626" s="322"/>
      <c r="H626" s="292"/>
      <c r="I626" s="292"/>
      <c r="J626" s="298"/>
      <c r="K626" s="292"/>
      <c r="L626" s="298"/>
      <c r="M626" s="292"/>
      <c r="N626" s="292"/>
    </row>
    <row r="627" spans="1:14" ht="15.75">
      <c r="A627" s="319"/>
      <c r="B627" s="333"/>
      <c r="C627" s="322"/>
      <c r="D627" s="322"/>
      <c r="H627" s="292"/>
      <c r="I627" s="292"/>
      <c r="J627" s="298"/>
      <c r="K627" s="292"/>
      <c r="L627" s="298"/>
      <c r="M627" s="292"/>
      <c r="N627" s="292"/>
    </row>
    <row r="628" spans="1:14" ht="15.75">
      <c r="A628" s="319"/>
      <c r="B628" s="333"/>
      <c r="C628" s="322"/>
      <c r="D628" s="322"/>
      <c r="H628" s="292"/>
      <c r="I628" s="292"/>
      <c r="J628" s="298"/>
      <c r="K628" s="292"/>
      <c r="L628" s="298"/>
      <c r="M628" s="292"/>
      <c r="N628" s="292"/>
    </row>
    <row r="629" spans="1:14" ht="15.75">
      <c r="A629" s="319"/>
      <c r="B629" s="333"/>
      <c r="C629" s="322"/>
      <c r="D629" s="322"/>
      <c r="H629" s="292"/>
      <c r="I629" s="292"/>
      <c r="J629" s="298"/>
      <c r="K629" s="292"/>
      <c r="L629" s="298"/>
      <c r="M629" s="292"/>
      <c r="N629" s="292"/>
    </row>
    <row r="630" spans="1:14" ht="15.75">
      <c r="A630" s="319"/>
      <c r="B630" s="333"/>
      <c r="C630" s="322"/>
      <c r="D630" s="322"/>
      <c r="H630" s="292"/>
      <c r="I630" s="292"/>
      <c r="J630" s="298"/>
      <c r="K630" s="292"/>
      <c r="L630" s="298"/>
      <c r="M630" s="292"/>
      <c r="N630" s="292"/>
    </row>
    <row r="631" spans="1:14" ht="15.75">
      <c r="A631" s="319"/>
      <c r="B631" s="333"/>
      <c r="C631" s="322"/>
      <c r="D631" s="322"/>
      <c r="H631" s="292"/>
      <c r="I631" s="292"/>
      <c r="J631" s="298"/>
      <c r="K631" s="292"/>
      <c r="L631" s="298"/>
      <c r="M631" s="292"/>
      <c r="N631" s="292"/>
    </row>
    <row r="632" spans="1:14" ht="15.75">
      <c r="A632" s="319"/>
      <c r="B632" s="333"/>
      <c r="C632" s="322"/>
      <c r="D632" s="322"/>
      <c r="H632" s="292"/>
      <c r="I632" s="292"/>
      <c r="J632" s="298"/>
      <c r="K632" s="292"/>
      <c r="L632" s="298"/>
      <c r="M632" s="292"/>
      <c r="N632" s="292"/>
    </row>
    <row r="633" spans="1:14" ht="15.75">
      <c r="A633" s="319"/>
      <c r="B633" s="333"/>
      <c r="C633" s="322"/>
      <c r="D633" s="322"/>
      <c r="H633" s="292"/>
      <c r="I633" s="292"/>
      <c r="J633" s="298"/>
      <c r="K633" s="292"/>
      <c r="L633" s="298"/>
      <c r="M633" s="292"/>
      <c r="N633" s="292"/>
    </row>
    <row r="634" spans="1:14" ht="15.75">
      <c r="A634" s="319"/>
      <c r="B634" s="333"/>
      <c r="C634" s="322"/>
      <c r="D634" s="322"/>
      <c r="H634" s="292"/>
      <c r="I634" s="292"/>
      <c r="J634" s="298"/>
      <c r="K634" s="292"/>
      <c r="L634" s="298"/>
      <c r="M634" s="292"/>
      <c r="N634" s="292"/>
    </row>
    <row r="635" spans="1:14" ht="15.75">
      <c r="A635" s="319"/>
      <c r="B635" s="333"/>
      <c r="C635" s="322"/>
      <c r="D635" s="322"/>
      <c r="H635" s="292"/>
      <c r="I635" s="292"/>
      <c r="J635" s="298"/>
      <c r="K635" s="292"/>
      <c r="L635" s="298"/>
      <c r="M635" s="292"/>
      <c r="N635" s="292"/>
    </row>
    <row r="636" spans="1:14" ht="15.75">
      <c r="A636" s="319"/>
      <c r="B636" s="333"/>
      <c r="C636" s="322"/>
      <c r="D636" s="322"/>
      <c r="H636" s="292"/>
      <c r="I636" s="292"/>
      <c r="J636" s="298"/>
      <c r="K636" s="292"/>
      <c r="L636" s="298"/>
      <c r="M636" s="292"/>
      <c r="N636" s="292"/>
    </row>
    <row r="637" spans="1:14" ht="15.75">
      <c r="A637" s="319"/>
      <c r="B637" s="333"/>
      <c r="C637" s="322"/>
      <c r="D637" s="322"/>
      <c r="H637" s="292"/>
      <c r="I637" s="292"/>
      <c r="J637" s="298"/>
      <c r="K637" s="292"/>
      <c r="L637" s="298"/>
      <c r="M637" s="292"/>
      <c r="N637" s="292"/>
    </row>
    <row r="638" spans="1:14" ht="15.75">
      <c r="A638" s="319"/>
      <c r="B638" s="333"/>
      <c r="C638" s="322"/>
      <c r="D638" s="322"/>
      <c r="H638" s="292"/>
      <c r="I638" s="292"/>
      <c r="J638" s="298"/>
      <c r="K638" s="292"/>
      <c r="L638" s="298"/>
      <c r="M638" s="292"/>
      <c r="N638" s="292"/>
    </row>
    <row r="639" spans="1:14" ht="15.75">
      <c r="A639" s="319"/>
      <c r="B639" s="333"/>
      <c r="C639" s="322"/>
      <c r="D639" s="322"/>
      <c r="H639" s="292"/>
      <c r="I639" s="292"/>
      <c r="J639" s="298"/>
      <c r="K639" s="292"/>
      <c r="L639" s="298"/>
      <c r="M639" s="292"/>
      <c r="N639" s="292"/>
    </row>
    <row r="640" spans="1:14" ht="15.75">
      <c r="A640" s="319"/>
      <c r="B640" s="333"/>
      <c r="C640" s="322"/>
      <c r="D640" s="322"/>
      <c r="H640" s="292"/>
      <c r="I640" s="292"/>
      <c r="J640" s="298"/>
      <c r="K640" s="292"/>
      <c r="L640" s="298"/>
      <c r="M640" s="292"/>
      <c r="N640" s="292"/>
    </row>
    <row r="641" spans="1:14" ht="15.75">
      <c r="A641" s="319"/>
      <c r="B641" s="333"/>
      <c r="C641" s="322"/>
      <c r="D641" s="322"/>
      <c r="H641" s="292"/>
      <c r="I641" s="292"/>
      <c r="J641" s="298"/>
      <c r="K641" s="292"/>
      <c r="L641" s="298"/>
      <c r="M641" s="292"/>
      <c r="N641" s="292"/>
    </row>
    <row r="642" spans="1:14" ht="15.75">
      <c r="A642" s="319"/>
      <c r="B642" s="333"/>
      <c r="C642" s="322"/>
      <c r="D642" s="322"/>
      <c r="H642" s="292"/>
      <c r="I642" s="292"/>
      <c r="J642" s="298"/>
      <c r="K642" s="292"/>
      <c r="L642" s="298"/>
      <c r="M642" s="292"/>
      <c r="N642" s="292"/>
    </row>
    <row r="643" spans="1:14" ht="15.75">
      <c r="A643" s="319"/>
      <c r="B643" s="333"/>
      <c r="C643" s="322"/>
      <c r="D643" s="322"/>
      <c r="H643" s="292"/>
      <c r="I643" s="292"/>
      <c r="J643" s="298"/>
      <c r="K643" s="292"/>
      <c r="L643" s="298"/>
      <c r="M643" s="292"/>
      <c r="N643" s="292"/>
    </row>
    <row r="644" spans="1:14" ht="15.75">
      <c r="A644" s="319"/>
      <c r="B644" s="333"/>
      <c r="C644" s="322"/>
      <c r="D644" s="322"/>
      <c r="H644" s="292"/>
      <c r="I644" s="292"/>
      <c r="J644" s="298"/>
      <c r="K644" s="292"/>
      <c r="L644" s="298"/>
      <c r="M644" s="292"/>
      <c r="N644" s="292"/>
    </row>
    <row r="645" spans="1:14" ht="15.75">
      <c r="A645" s="319"/>
      <c r="B645" s="333"/>
      <c r="C645" s="322"/>
      <c r="D645" s="322"/>
      <c r="H645" s="292"/>
      <c r="I645" s="292"/>
      <c r="J645" s="298"/>
      <c r="K645" s="292"/>
      <c r="L645" s="298"/>
      <c r="M645" s="292"/>
      <c r="N645" s="292"/>
    </row>
    <row r="646" spans="1:14" ht="15.75">
      <c r="A646" s="319"/>
      <c r="B646" s="333"/>
      <c r="C646" s="322"/>
      <c r="D646" s="322"/>
      <c r="H646" s="292"/>
      <c r="I646" s="292"/>
      <c r="J646" s="298"/>
      <c r="K646" s="292"/>
      <c r="L646" s="298"/>
      <c r="M646" s="292"/>
      <c r="N646" s="292"/>
    </row>
    <row r="647" spans="1:14" ht="15.75">
      <c r="A647" s="319"/>
      <c r="B647" s="333"/>
      <c r="C647" s="322"/>
      <c r="D647" s="322"/>
      <c r="H647" s="292"/>
      <c r="I647" s="292"/>
      <c r="J647" s="298"/>
      <c r="K647" s="292"/>
      <c r="L647" s="298"/>
      <c r="M647" s="292"/>
      <c r="N647" s="292"/>
    </row>
    <row r="648" spans="1:14" ht="15.75">
      <c r="A648" s="319"/>
      <c r="B648" s="333"/>
      <c r="C648" s="322"/>
      <c r="D648" s="322"/>
      <c r="H648" s="292"/>
      <c r="I648" s="292"/>
      <c r="J648" s="298"/>
      <c r="K648" s="292"/>
      <c r="L648" s="298"/>
      <c r="M648" s="292"/>
      <c r="N648" s="292"/>
    </row>
    <row r="649" spans="1:14" ht="15.75">
      <c r="A649" s="319"/>
      <c r="B649" s="333"/>
      <c r="C649" s="322"/>
      <c r="D649" s="322"/>
      <c r="H649" s="292"/>
      <c r="I649" s="292"/>
      <c r="J649" s="298"/>
      <c r="K649" s="292"/>
      <c r="L649" s="298"/>
      <c r="M649" s="292"/>
      <c r="N649" s="292"/>
    </row>
    <row r="650" spans="1:14" ht="15.75">
      <c r="A650" s="319"/>
      <c r="B650" s="333"/>
      <c r="C650" s="322"/>
      <c r="D650" s="322"/>
      <c r="H650" s="292"/>
      <c r="I650" s="292"/>
      <c r="J650" s="298"/>
      <c r="K650" s="292"/>
      <c r="L650" s="298"/>
      <c r="M650" s="292"/>
      <c r="N650" s="292"/>
    </row>
    <row r="651" spans="1:14" ht="15.75">
      <c r="A651" s="319"/>
      <c r="B651" s="333"/>
      <c r="C651" s="322"/>
      <c r="D651" s="322"/>
      <c r="H651" s="292"/>
      <c r="I651" s="292"/>
      <c r="J651" s="298"/>
      <c r="K651" s="292"/>
      <c r="L651" s="298"/>
      <c r="M651" s="292"/>
      <c r="N651" s="292"/>
    </row>
    <row r="652" spans="1:14" ht="15.75">
      <c r="A652" s="319"/>
      <c r="B652" s="333"/>
      <c r="C652" s="322"/>
      <c r="D652" s="322"/>
      <c r="H652" s="292"/>
      <c r="I652" s="292"/>
      <c r="J652" s="298"/>
      <c r="K652" s="292"/>
      <c r="L652" s="298"/>
      <c r="M652" s="292"/>
      <c r="N652" s="292"/>
    </row>
    <row r="653" spans="1:14" ht="15.75">
      <c r="A653" s="319"/>
      <c r="B653" s="333"/>
      <c r="C653" s="322"/>
      <c r="D653" s="322"/>
      <c r="H653" s="292"/>
      <c r="I653" s="292"/>
      <c r="J653" s="298"/>
      <c r="K653" s="292"/>
      <c r="L653" s="298"/>
      <c r="M653" s="292"/>
      <c r="N653" s="292"/>
    </row>
    <row r="654" spans="1:14" ht="15.75">
      <c r="A654" s="319"/>
      <c r="B654" s="333"/>
      <c r="C654" s="322"/>
      <c r="D654" s="322"/>
      <c r="H654" s="292"/>
      <c r="I654" s="292"/>
      <c r="J654" s="298"/>
      <c r="K654" s="292"/>
      <c r="L654" s="298"/>
      <c r="M654" s="292"/>
      <c r="N654" s="292"/>
    </row>
    <row r="655" spans="1:14" ht="15.75">
      <c r="A655" s="319"/>
      <c r="B655" s="333"/>
      <c r="C655" s="322"/>
      <c r="D655" s="322"/>
      <c r="H655" s="292"/>
      <c r="I655" s="292"/>
      <c r="J655" s="298"/>
      <c r="K655" s="292"/>
      <c r="L655" s="298"/>
      <c r="M655" s="292"/>
      <c r="N655" s="292"/>
    </row>
    <row r="656" spans="1:14" ht="15.75">
      <c r="A656" s="319"/>
      <c r="B656" s="333"/>
      <c r="C656" s="322"/>
      <c r="D656" s="322"/>
      <c r="H656" s="292"/>
      <c r="I656" s="292"/>
      <c r="J656" s="298"/>
      <c r="K656" s="292"/>
      <c r="L656" s="298"/>
      <c r="M656" s="292"/>
      <c r="N656" s="292"/>
    </row>
    <row r="657" spans="1:14" ht="15.75">
      <c r="A657" s="319"/>
      <c r="B657" s="333"/>
      <c r="C657" s="322"/>
      <c r="D657" s="322"/>
      <c r="H657" s="292"/>
      <c r="I657" s="292"/>
      <c r="J657" s="298"/>
      <c r="K657" s="292"/>
      <c r="L657" s="298"/>
      <c r="M657" s="292"/>
      <c r="N657" s="292"/>
    </row>
    <row r="658" spans="1:14" ht="15.75">
      <c r="A658" s="319"/>
      <c r="B658" s="333"/>
      <c r="C658" s="322"/>
      <c r="D658" s="322"/>
      <c r="H658" s="292"/>
      <c r="I658" s="292"/>
      <c r="J658" s="298"/>
      <c r="K658" s="292"/>
      <c r="L658" s="298"/>
      <c r="M658" s="292"/>
      <c r="N658" s="292"/>
    </row>
    <row r="659" spans="1:14" ht="15.75">
      <c r="A659" s="319"/>
      <c r="B659" s="333"/>
      <c r="C659" s="322"/>
      <c r="D659" s="322"/>
      <c r="H659" s="292"/>
      <c r="I659" s="292"/>
      <c r="J659" s="298"/>
      <c r="K659" s="292"/>
      <c r="L659" s="298"/>
      <c r="M659" s="292"/>
      <c r="N659" s="292"/>
    </row>
    <row r="660" spans="1:14" ht="15.75">
      <c r="A660" s="319"/>
      <c r="B660" s="333"/>
      <c r="C660" s="322"/>
      <c r="D660" s="322"/>
      <c r="H660" s="292"/>
      <c r="I660" s="292"/>
      <c r="J660" s="298"/>
      <c r="K660" s="292"/>
      <c r="L660" s="298"/>
      <c r="M660" s="292"/>
      <c r="N660" s="292"/>
    </row>
    <row r="661" spans="1:14" ht="15.75">
      <c r="A661" s="319"/>
      <c r="B661" s="333"/>
      <c r="C661" s="322"/>
      <c r="D661" s="322"/>
      <c r="H661" s="292"/>
      <c r="I661" s="292"/>
      <c r="J661" s="298"/>
      <c r="K661" s="292"/>
      <c r="L661" s="298"/>
      <c r="M661" s="292"/>
      <c r="N661" s="292"/>
    </row>
    <row r="662" spans="1:14" ht="15.75">
      <c r="A662" s="319"/>
      <c r="B662" s="333"/>
      <c r="C662" s="322"/>
      <c r="D662" s="322"/>
      <c r="H662" s="292"/>
      <c r="I662" s="292"/>
      <c r="J662" s="298"/>
      <c r="K662" s="292"/>
      <c r="L662" s="298"/>
      <c r="M662" s="292"/>
      <c r="N662" s="292"/>
    </row>
    <row r="663" spans="1:14" ht="15.75">
      <c r="A663" s="319"/>
      <c r="B663" s="333"/>
      <c r="C663" s="322"/>
      <c r="D663" s="322"/>
      <c r="H663" s="292"/>
      <c r="I663" s="292"/>
      <c r="J663" s="298"/>
      <c r="K663" s="292"/>
      <c r="L663" s="298"/>
      <c r="M663" s="292"/>
      <c r="N663" s="292"/>
    </row>
    <row r="664" spans="1:14" ht="15.75">
      <c r="A664" s="319"/>
      <c r="B664" s="333"/>
      <c r="C664" s="322"/>
      <c r="D664" s="322"/>
      <c r="H664" s="292"/>
      <c r="I664" s="292"/>
      <c r="J664" s="298"/>
      <c r="K664" s="292"/>
      <c r="L664" s="298"/>
      <c r="M664" s="292"/>
      <c r="N664" s="292"/>
    </row>
    <row r="665" spans="1:14" ht="15.75">
      <c r="A665" s="319"/>
      <c r="B665" s="333"/>
      <c r="C665" s="322"/>
      <c r="D665" s="322"/>
      <c r="H665" s="292"/>
      <c r="I665" s="292"/>
      <c r="J665" s="298"/>
      <c r="K665" s="292"/>
      <c r="L665" s="298"/>
      <c r="M665" s="292"/>
      <c r="N665" s="292"/>
    </row>
    <row r="666" spans="1:14" ht="15.75">
      <c r="A666" s="319"/>
      <c r="B666" s="333"/>
      <c r="C666" s="322"/>
      <c r="D666" s="322"/>
      <c r="H666" s="292"/>
      <c r="I666" s="292"/>
      <c r="J666" s="298"/>
      <c r="K666" s="292"/>
      <c r="L666" s="298"/>
      <c r="M666" s="292"/>
      <c r="N666" s="292"/>
    </row>
    <row r="667" spans="1:14" ht="15.75">
      <c r="A667" s="319"/>
      <c r="B667" s="333"/>
      <c r="C667" s="322"/>
      <c r="D667" s="322"/>
      <c r="H667" s="292"/>
      <c r="I667" s="292"/>
      <c r="J667" s="298"/>
      <c r="K667" s="292"/>
      <c r="L667" s="298"/>
      <c r="M667" s="292"/>
      <c r="N667" s="292"/>
    </row>
  </sheetData>
  <sheetProtection/>
  <autoFilter ref="A9:S90"/>
  <mergeCells count="14">
    <mergeCell ref="D7:D8"/>
    <mergeCell ref="E7:E8"/>
    <mergeCell ref="F7:F8"/>
    <mergeCell ref="H7:I7"/>
    <mergeCell ref="J7:K7"/>
    <mergeCell ref="L7:M7"/>
    <mergeCell ref="N7:N8"/>
    <mergeCell ref="H103:J103"/>
    <mergeCell ref="A1:N1"/>
    <mergeCell ref="A3:N3"/>
    <mergeCell ref="A5:N5"/>
    <mergeCell ref="A7:A8"/>
    <mergeCell ref="B7:B8"/>
    <mergeCell ref="C7:C8"/>
  </mergeCells>
  <printOptions horizontalCentered="1"/>
  <pageMargins left="0.11811023622047245" right="0.11811023622047245" top="0.3937007874015748" bottom="0.3937007874015748" header="0.4330708661417323" footer="0.1968503937007874"/>
  <pageSetup cellComments="asDisplayed" firstPageNumber="1" useFirstPageNumber="1" horizontalDpi="600" verticalDpi="600" orientation="landscape" paperSize="9" scale="87" r:id="rId1"/>
  <headerFooter alignWithMargins="0"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658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3.8515625" style="313" customWidth="1"/>
    <col min="2" max="2" width="10.57421875" style="341" customWidth="1"/>
    <col min="3" max="3" width="54.7109375" style="319" customWidth="1"/>
    <col min="4" max="4" width="7.8515625" style="319" customWidth="1"/>
    <col min="5" max="5" width="8.7109375" style="333" customWidth="1"/>
    <col min="6" max="7" width="9.28125" style="524" customWidth="1"/>
    <col min="8" max="8" width="9.421875" style="524" customWidth="1"/>
    <col min="9" max="9" width="11.57421875" style="524" bestFit="1" customWidth="1"/>
    <col min="10" max="10" width="8.7109375" style="525" customWidth="1"/>
    <col min="11" max="11" width="12.00390625" style="524" customWidth="1"/>
    <col min="12" max="12" width="7.8515625" style="525" customWidth="1"/>
    <col min="13" max="13" width="9.7109375" style="524" customWidth="1"/>
    <col min="14" max="14" width="11.7109375" style="524" bestFit="1" customWidth="1"/>
    <col min="15" max="15" width="19.8515625" style="319" customWidth="1"/>
    <col min="16" max="16" width="12.8515625" style="319" customWidth="1"/>
    <col min="17" max="17" width="31.421875" style="319" customWidth="1"/>
    <col min="18" max="16384" width="9.140625" style="319" customWidth="1"/>
  </cols>
  <sheetData>
    <row r="1" spans="1:14" s="255" customFormat="1" ht="42" customHeight="1">
      <c r="A1" s="686" t="str">
        <f>კრებსიტი!A1</f>
        <v>საბავშვო ბაღის აშენების პროექტი სოფელ იორმუღანლოში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</row>
    <row r="2" spans="1:14" s="255" customFormat="1" ht="9" customHeight="1">
      <c r="A2" s="256"/>
      <c r="B2" s="334"/>
      <c r="C2" s="257"/>
      <c r="D2" s="256"/>
      <c r="E2" s="323"/>
      <c r="F2" s="512"/>
      <c r="G2" s="512"/>
      <c r="H2" s="512"/>
      <c r="I2" s="512"/>
      <c r="J2" s="512"/>
      <c r="K2" s="512"/>
      <c r="L2" s="512"/>
      <c r="M2" s="512"/>
      <c r="N2" s="512"/>
    </row>
    <row r="3" spans="1:14" s="266" customFormat="1" ht="19.5" customHeight="1">
      <c r="A3" s="681" t="s">
        <v>623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</row>
    <row r="4" spans="1:14" s="266" customFormat="1" ht="9" customHeight="1">
      <c r="A4" s="267"/>
      <c r="B4" s="324"/>
      <c r="C4" s="268"/>
      <c r="D4" s="267"/>
      <c r="E4" s="324"/>
      <c r="F4" s="513"/>
      <c r="G4" s="513"/>
      <c r="H4" s="513"/>
      <c r="I4" s="513"/>
      <c r="J4" s="513"/>
      <c r="K4" s="513"/>
      <c r="L4" s="513"/>
      <c r="M4" s="513"/>
      <c r="N4" s="513"/>
    </row>
    <row r="5" spans="1:14" s="269" customFormat="1" ht="18.75" customHeight="1">
      <c r="A5" s="682" t="s">
        <v>552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</row>
    <row r="6" spans="1:14" s="266" customFormat="1" ht="14.25" customHeight="1" thickBot="1">
      <c r="A6" s="270"/>
      <c r="B6" s="325"/>
      <c r="C6" s="271"/>
      <c r="D6" s="270"/>
      <c r="E6" s="325"/>
      <c r="F6" s="514"/>
      <c r="G6" s="514"/>
      <c r="H6" s="514"/>
      <c r="I6" s="514"/>
      <c r="J6" s="515"/>
      <c r="K6" s="514"/>
      <c r="L6" s="515"/>
      <c r="M6" s="514"/>
      <c r="N6" s="514"/>
    </row>
    <row r="7" spans="1:14" s="258" customFormat="1" ht="36" customHeight="1" thickBot="1" thickTop="1">
      <c r="A7" s="687" t="s">
        <v>0</v>
      </c>
      <c r="B7" s="688" t="s">
        <v>49</v>
      </c>
      <c r="C7" s="685" t="s">
        <v>50</v>
      </c>
      <c r="D7" s="687" t="s">
        <v>51</v>
      </c>
      <c r="E7" s="688" t="s">
        <v>52</v>
      </c>
      <c r="F7" s="689" t="s">
        <v>53</v>
      </c>
      <c r="G7" s="635" t="s">
        <v>853</v>
      </c>
      <c r="H7" s="685" t="s">
        <v>54</v>
      </c>
      <c r="I7" s="685"/>
      <c r="J7" s="685" t="s">
        <v>55</v>
      </c>
      <c r="K7" s="685"/>
      <c r="L7" s="685" t="s">
        <v>56</v>
      </c>
      <c r="M7" s="685"/>
      <c r="N7" s="685" t="s">
        <v>57</v>
      </c>
    </row>
    <row r="8" spans="1:15" s="258" customFormat="1" ht="36" customHeight="1" thickBot="1" thickTop="1">
      <c r="A8" s="687"/>
      <c r="B8" s="688"/>
      <c r="C8" s="685"/>
      <c r="D8" s="687"/>
      <c r="E8" s="688"/>
      <c r="F8" s="689"/>
      <c r="G8" s="635" t="s">
        <v>858</v>
      </c>
      <c r="H8" s="274" t="s">
        <v>58</v>
      </c>
      <c r="I8" s="511" t="s">
        <v>59</v>
      </c>
      <c r="J8" s="274" t="s">
        <v>58</v>
      </c>
      <c r="K8" s="511" t="s">
        <v>59</v>
      </c>
      <c r="L8" s="274" t="s">
        <v>58</v>
      </c>
      <c r="M8" s="511" t="s">
        <v>59</v>
      </c>
      <c r="N8" s="685"/>
      <c r="O8" s="259"/>
    </row>
    <row r="9" spans="1:14" s="265" customFormat="1" ht="14.25" customHeight="1" thickBot="1" thickTop="1">
      <c r="A9" s="260">
        <v>1</v>
      </c>
      <c r="B9" s="335">
        <v>2</v>
      </c>
      <c r="C9" s="261">
        <v>3</v>
      </c>
      <c r="D9" s="262">
        <v>4</v>
      </c>
      <c r="E9" s="326">
        <v>5</v>
      </c>
      <c r="F9" s="36">
        <v>6</v>
      </c>
      <c r="G9" s="36"/>
      <c r="H9" s="37">
        <v>7</v>
      </c>
      <c r="I9" s="37">
        <v>8</v>
      </c>
      <c r="J9" s="37">
        <v>9</v>
      </c>
      <c r="K9" s="37">
        <v>10</v>
      </c>
      <c r="L9" s="37">
        <v>11</v>
      </c>
      <c r="M9" s="37">
        <v>12</v>
      </c>
      <c r="N9" s="37">
        <v>13</v>
      </c>
    </row>
    <row r="10" spans="1:16" s="283" customFormat="1" ht="18" customHeight="1" thickTop="1">
      <c r="A10" s="276"/>
      <c r="B10" s="336"/>
      <c r="C10" s="277" t="s">
        <v>553</v>
      </c>
      <c r="D10" s="278"/>
      <c r="E10" s="327"/>
      <c r="F10" s="42"/>
      <c r="G10" s="42"/>
      <c r="H10" s="43"/>
      <c r="I10" s="44"/>
      <c r="J10" s="44"/>
      <c r="K10" s="516"/>
      <c r="L10" s="44"/>
      <c r="M10" s="44"/>
      <c r="N10" s="44"/>
      <c r="P10" s="284"/>
    </row>
    <row r="11" spans="1:17" s="289" customFormat="1" ht="18" customHeight="1">
      <c r="A11" s="285"/>
      <c r="B11" s="446">
        <v>110</v>
      </c>
      <c r="C11" s="454" t="s">
        <v>554</v>
      </c>
      <c r="D11" s="104" t="s">
        <v>105</v>
      </c>
      <c r="E11" s="84"/>
      <c r="F11" s="551"/>
      <c r="G11" s="551"/>
      <c r="H11" s="83"/>
      <c r="I11" s="84"/>
      <c r="J11" s="83"/>
      <c r="K11" s="84"/>
      <c r="L11" s="83"/>
      <c r="M11" s="84"/>
      <c r="N11" s="84"/>
      <c r="O11" s="286"/>
      <c r="P11" s="287"/>
      <c r="Q11" s="288"/>
    </row>
    <row r="12" spans="1:17" s="292" customFormat="1" ht="18" customHeight="1">
      <c r="A12" s="285"/>
      <c r="B12" s="453">
        <v>100</v>
      </c>
      <c r="C12" s="454" t="s">
        <v>555</v>
      </c>
      <c r="D12" s="104" t="s">
        <v>105</v>
      </c>
      <c r="E12" s="84"/>
      <c r="F12" s="551"/>
      <c r="G12" s="444"/>
      <c r="H12" s="84"/>
      <c r="I12" s="84"/>
      <c r="J12" s="83"/>
      <c r="K12" s="84"/>
      <c r="L12" s="83"/>
      <c r="M12" s="84"/>
      <c r="N12" s="84"/>
      <c r="O12" s="290"/>
      <c r="P12" s="291"/>
      <c r="Q12" s="268"/>
    </row>
    <row r="13" spans="1:17" s="292" customFormat="1" ht="18" customHeight="1">
      <c r="A13" s="285"/>
      <c r="B13" s="453">
        <v>75</v>
      </c>
      <c r="C13" s="454" t="s">
        <v>555</v>
      </c>
      <c r="D13" s="104" t="s">
        <v>105</v>
      </c>
      <c r="E13" s="84"/>
      <c r="F13" s="551"/>
      <c r="G13" s="551"/>
      <c r="H13" s="83"/>
      <c r="I13" s="84"/>
      <c r="J13" s="83"/>
      <c r="K13" s="84"/>
      <c r="L13" s="83"/>
      <c r="M13" s="84"/>
      <c r="N13" s="84"/>
      <c r="O13" s="295"/>
      <c r="P13" s="268"/>
      <c r="Q13" s="268"/>
    </row>
    <row r="14" spans="1:17" s="292" customFormat="1" ht="18" customHeight="1">
      <c r="A14" s="285"/>
      <c r="B14" s="446">
        <v>50</v>
      </c>
      <c r="C14" s="454" t="s">
        <v>554</v>
      </c>
      <c r="D14" s="104" t="s">
        <v>105</v>
      </c>
      <c r="E14" s="84"/>
      <c r="F14" s="551"/>
      <c r="G14" s="551"/>
      <c r="H14" s="83"/>
      <c r="I14" s="84"/>
      <c r="J14" s="83"/>
      <c r="K14" s="84"/>
      <c r="L14" s="83"/>
      <c r="M14" s="84"/>
      <c r="N14" s="84"/>
      <c r="O14" s="295"/>
      <c r="P14" s="268"/>
      <c r="Q14" s="268"/>
    </row>
    <row r="15" spans="1:17" s="292" customFormat="1" ht="18" customHeight="1">
      <c r="A15" s="285"/>
      <c r="B15" s="453">
        <v>50</v>
      </c>
      <c r="C15" s="454" t="s">
        <v>555</v>
      </c>
      <c r="D15" s="104" t="s">
        <v>105</v>
      </c>
      <c r="E15" s="84"/>
      <c r="F15" s="551"/>
      <c r="G15" s="551"/>
      <c r="H15" s="83"/>
      <c r="I15" s="84"/>
      <c r="J15" s="83"/>
      <c r="K15" s="84"/>
      <c r="L15" s="83"/>
      <c r="M15" s="84"/>
      <c r="N15" s="84"/>
      <c r="O15" s="296"/>
      <c r="P15" s="291"/>
      <c r="Q15" s="268"/>
    </row>
    <row r="16" spans="1:17" s="289" customFormat="1" ht="18" customHeight="1">
      <c r="A16" s="285"/>
      <c r="B16" s="446">
        <v>100</v>
      </c>
      <c r="C16" s="454" t="s">
        <v>594</v>
      </c>
      <c r="D16" s="104" t="s">
        <v>92</v>
      </c>
      <c r="E16" s="84"/>
      <c r="F16" s="551"/>
      <c r="G16" s="551"/>
      <c r="H16" s="83"/>
      <c r="I16" s="84"/>
      <c r="J16" s="83"/>
      <c r="K16" s="84"/>
      <c r="L16" s="83"/>
      <c r="M16" s="84"/>
      <c r="N16" s="84"/>
      <c r="O16" s="286"/>
      <c r="P16" s="287"/>
      <c r="Q16" s="288"/>
    </row>
    <row r="17" spans="1:17" s="292" customFormat="1" ht="18" customHeight="1">
      <c r="A17" s="285"/>
      <c r="B17" s="446">
        <v>100</v>
      </c>
      <c r="C17" s="454" t="s">
        <v>592</v>
      </c>
      <c r="D17" s="104" t="s">
        <v>92</v>
      </c>
      <c r="E17" s="84"/>
      <c r="F17" s="551"/>
      <c r="G17" s="551"/>
      <c r="H17" s="83"/>
      <c r="I17" s="84"/>
      <c r="J17" s="83"/>
      <c r="K17" s="84"/>
      <c r="L17" s="83"/>
      <c r="M17" s="84"/>
      <c r="N17" s="84"/>
      <c r="O17" s="296"/>
      <c r="P17" s="291"/>
      <c r="Q17" s="268"/>
    </row>
    <row r="18" spans="1:17" s="292" customFormat="1" ht="18" customHeight="1">
      <c r="A18" s="285"/>
      <c r="B18" s="446" t="s">
        <v>559</v>
      </c>
      <c r="C18" s="454" t="s">
        <v>592</v>
      </c>
      <c r="D18" s="104" t="s">
        <v>92</v>
      </c>
      <c r="E18" s="84"/>
      <c r="F18" s="551"/>
      <c r="G18" s="551"/>
      <c r="H18" s="83"/>
      <c r="I18" s="84"/>
      <c r="J18" s="83"/>
      <c r="K18" s="84"/>
      <c r="L18" s="83"/>
      <c r="M18" s="84"/>
      <c r="N18" s="84"/>
      <c r="O18" s="295"/>
      <c r="P18" s="268"/>
      <c r="Q18" s="268"/>
    </row>
    <row r="19" spans="1:17" s="292" customFormat="1" ht="18" customHeight="1">
      <c r="A19" s="285"/>
      <c r="B19" s="446" t="s">
        <v>560</v>
      </c>
      <c r="C19" s="454" t="s">
        <v>592</v>
      </c>
      <c r="D19" s="104" t="s">
        <v>92</v>
      </c>
      <c r="E19" s="84"/>
      <c r="F19" s="551"/>
      <c r="G19" s="551"/>
      <c r="H19" s="83"/>
      <c r="I19" s="84"/>
      <c r="J19" s="83"/>
      <c r="K19" s="84"/>
      <c r="L19" s="83"/>
      <c r="M19" s="84"/>
      <c r="N19" s="84"/>
      <c r="O19" s="295"/>
      <c r="P19" s="268"/>
      <c r="Q19" s="268"/>
    </row>
    <row r="20" spans="1:14" s="292" customFormat="1" ht="18" customHeight="1">
      <c r="A20" s="285"/>
      <c r="B20" s="446">
        <v>100</v>
      </c>
      <c r="C20" s="454" t="s">
        <v>556</v>
      </c>
      <c r="D20" s="104" t="s">
        <v>92</v>
      </c>
      <c r="E20" s="84"/>
      <c r="F20" s="551"/>
      <c r="G20" s="551"/>
      <c r="H20" s="83"/>
      <c r="I20" s="84"/>
      <c r="J20" s="83"/>
      <c r="K20" s="84"/>
      <c r="L20" s="83"/>
      <c r="M20" s="84"/>
      <c r="N20" s="84"/>
    </row>
    <row r="21" spans="1:17" s="289" customFormat="1" ht="18" customHeight="1">
      <c r="A21" s="297"/>
      <c r="B21" s="453" t="s">
        <v>559</v>
      </c>
      <c r="C21" s="455" t="s">
        <v>556</v>
      </c>
      <c r="D21" s="104" t="s">
        <v>92</v>
      </c>
      <c r="E21" s="84"/>
      <c r="F21" s="551"/>
      <c r="G21" s="551"/>
      <c r="H21" s="83"/>
      <c r="I21" s="84"/>
      <c r="J21" s="83"/>
      <c r="K21" s="84"/>
      <c r="L21" s="83"/>
      <c r="M21" s="84"/>
      <c r="N21" s="84"/>
      <c r="O21" s="286"/>
      <c r="P21" s="287"/>
      <c r="Q21" s="288"/>
    </row>
    <row r="22" spans="1:17" s="292" customFormat="1" ht="18" customHeight="1">
      <c r="A22" s="297"/>
      <c r="B22" s="446">
        <v>50</v>
      </c>
      <c r="C22" s="454" t="s">
        <v>151</v>
      </c>
      <c r="D22" s="104" t="s">
        <v>92</v>
      </c>
      <c r="E22" s="84"/>
      <c r="F22" s="551"/>
      <c r="G22" s="551"/>
      <c r="H22" s="83"/>
      <c r="I22" s="84"/>
      <c r="J22" s="83"/>
      <c r="K22" s="84"/>
      <c r="L22" s="83"/>
      <c r="M22" s="84"/>
      <c r="N22" s="84"/>
      <c r="O22" s="296"/>
      <c r="P22" s="291"/>
      <c r="Q22" s="268"/>
    </row>
    <row r="23" spans="1:14" s="292" customFormat="1" ht="18" customHeight="1">
      <c r="A23" s="285"/>
      <c r="B23" s="446">
        <v>100</v>
      </c>
      <c r="C23" s="456" t="s">
        <v>593</v>
      </c>
      <c r="D23" s="104" t="s">
        <v>92</v>
      </c>
      <c r="E23" s="84"/>
      <c r="F23" s="551"/>
      <c r="G23" s="551"/>
      <c r="H23" s="83"/>
      <c r="I23" s="84"/>
      <c r="J23" s="83"/>
      <c r="K23" s="84"/>
      <c r="L23" s="83"/>
      <c r="M23" s="84"/>
      <c r="N23" s="84"/>
    </row>
    <row r="24" spans="1:14" s="292" customFormat="1" ht="18" customHeight="1">
      <c r="A24" s="297"/>
      <c r="B24" s="446">
        <v>80</v>
      </c>
      <c r="C24" s="456" t="s">
        <v>593</v>
      </c>
      <c r="D24" s="104" t="s">
        <v>92</v>
      </c>
      <c r="E24" s="84"/>
      <c r="F24" s="551"/>
      <c r="G24" s="551"/>
      <c r="H24" s="83"/>
      <c r="I24" s="84"/>
      <c r="J24" s="83"/>
      <c r="K24" s="84"/>
      <c r="L24" s="83"/>
      <c r="M24" s="84"/>
      <c r="N24" s="84"/>
    </row>
    <row r="25" spans="1:14" s="292" customFormat="1" ht="18" customHeight="1">
      <c r="A25" s="297"/>
      <c r="B25" s="458">
        <v>50</v>
      </c>
      <c r="C25" s="456" t="s">
        <v>593</v>
      </c>
      <c r="D25" s="104" t="s">
        <v>92</v>
      </c>
      <c r="E25" s="84"/>
      <c r="F25" s="551"/>
      <c r="G25" s="551"/>
      <c r="H25" s="83"/>
      <c r="I25" s="84"/>
      <c r="J25" s="83"/>
      <c r="K25" s="84"/>
      <c r="L25" s="83"/>
      <c r="M25" s="84"/>
      <c r="N25" s="84"/>
    </row>
    <row r="26" spans="1:17" s="289" customFormat="1" ht="18" customHeight="1">
      <c r="A26" s="285"/>
      <c r="B26" s="446">
        <v>100</v>
      </c>
      <c r="C26" s="456" t="s">
        <v>557</v>
      </c>
      <c r="D26" s="104" t="s">
        <v>92</v>
      </c>
      <c r="E26" s="84"/>
      <c r="F26" s="551"/>
      <c r="G26" s="551"/>
      <c r="H26" s="83"/>
      <c r="I26" s="84"/>
      <c r="J26" s="83"/>
      <c r="K26" s="84"/>
      <c r="L26" s="83"/>
      <c r="M26" s="84"/>
      <c r="N26" s="84"/>
      <c r="O26" s="286"/>
      <c r="P26" s="287"/>
      <c r="Q26" s="288"/>
    </row>
    <row r="27" spans="1:17" s="292" customFormat="1" ht="18" customHeight="1">
      <c r="A27" s="285"/>
      <c r="B27" s="453">
        <v>80</v>
      </c>
      <c r="C27" s="457" t="s">
        <v>557</v>
      </c>
      <c r="D27" s="104" t="s">
        <v>92</v>
      </c>
      <c r="E27" s="84"/>
      <c r="F27" s="551"/>
      <c r="G27" s="551"/>
      <c r="H27" s="83"/>
      <c r="I27" s="84"/>
      <c r="J27" s="83"/>
      <c r="K27" s="84"/>
      <c r="L27" s="83"/>
      <c r="M27" s="84"/>
      <c r="N27" s="84"/>
      <c r="O27" s="295"/>
      <c r="P27" s="268"/>
      <c r="Q27" s="268"/>
    </row>
    <row r="28" spans="1:17" s="292" customFormat="1" ht="18" customHeight="1">
      <c r="A28" s="285"/>
      <c r="B28" s="453">
        <v>50</v>
      </c>
      <c r="C28" s="457" t="s">
        <v>557</v>
      </c>
      <c r="D28" s="104" t="s">
        <v>92</v>
      </c>
      <c r="E28" s="84"/>
      <c r="F28" s="551"/>
      <c r="G28" s="551"/>
      <c r="H28" s="83"/>
      <c r="I28" s="84"/>
      <c r="J28" s="83"/>
      <c r="K28" s="84"/>
      <c r="L28" s="83"/>
      <c r="M28" s="84"/>
      <c r="N28" s="84"/>
      <c r="O28" s="295"/>
      <c r="P28" s="268"/>
      <c r="Q28" s="268"/>
    </row>
    <row r="29" spans="1:14" s="292" customFormat="1" ht="18" customHeight="1">
      <c r="A29" s="285"/>
      <c r="B29" s="446">
        <v>100</v>
      </c>
      <c r="C29" s="456" t="s">
        <v>558</v>
      </c>
      <c r="D29" s="104" t="s">
        <v>92</v>
      </c>
      <c r="E29" s="84"/>
      <c r="F29" s="551"/>
      <c r="G29" s="551"/>
      <c r="H29" s="83"/>
      <c r="I29" s="84"/>
      <c r="J29" s="83"/>
      <c r="K29" s="84"/>
      <c r="L29" s="83"/>
      <c r="M29" s="84"/>
      <c r="N29" s="84"/>
    </row>
    <row r="30" spans="1:14" s="292" customFormat="1" ht="18" customHeight="1">
      <c r="A30" s="297"/>
      <c r="B30" s="453">
        <v>50</v>
      </c>
      <c r="C30" s="457" t="s">
        <v>558</v>
      </c>
      <c r="D30" s="104" t="s">
        <v>92</v>
      </c>
      <c r="E30" s="84"/>
      <c r="F30" s="551"/>
      <c r="G30" s="551"/>
      <c r="H30" s="83"/>
      <c r="I30" s="84"/>
      <c r="J30" s="83"/>
      <c r="K30" s="84"/>
      <c r="L30" s="83"/>
      <c r="M30" s="84"/>
      <c r="N30" s="84"/>
    </row>
    <row r="31" spans="1:16" s="283" customFormat="1" ht="18" customHeight="1">
      <c r="A31" s="276"/>
      <c r="B31" s="336"/>
      <c r="C31" s="277" t="s">
        <v>561</v>
      </c>
      <c r="D31" s="278"/>
      <c r="E31" s="327"/>
      <c r="F31" s="551"/>
      <c r="G31" s="444"/>
      <c r="H31" s="43"/>
      <c r="I31" s="44"/>
      <c r="J31" s="44"/>
      <c r="K31" s="516"/>
      <c r="L31" s="44"/>
      <c r="M31" s="44"/>
      <c r="N31" s="44"/>
      <c r="P31" s="284"/>
    </row>
    <row r="32" spans="1:17" s="292" customFormat="1" ht="18" customHeight="1">
      <c r="A32" s="285"/>
      <c r="B32" s="446">
        <v>50</v>
      </c>
      <c r="C32" s="454" t="s">
        <v>567</v>
      </c>
      <c r="D32" s="104" t="s">
        <v>105</v>
      </c>
      <c r="E32" s="84"/>
      <c r="F32" s="551"/>
      <c r="G32" s="444"/>
      <c r="H32" s="84"/>
      <c r="I32" s="84"/>
      <c r="J32" s="83"/>
      <c r="K32" s="84"/>
      <c r="L32" s="83"/>
      <c r="M32" s="84"/>
      <c r="N32" s="84"/>
      <c r="O32" s="296"/>
      <c r="P32" s="291"/>
      <c r="Q32" s="268"/>
    </row>
    <row r="33" spans="1:17" s="292" customFormat="1" ht="18" customHeight="1">
      <c r="A33" s="297"/>
      <c r="B33" s="446">
        <v>40</v>
      </c>
      <c r="C33" s="454" t="s">
        <v>567</v>
      </c>
      <c r="D33" s="104" t="s">
        <v>105</v>
      </c>
      <c r="E33" s="84"/>
      <c r="F33" s="551"/>
      <c r="G33" s="444"/>
      <c r="H33" s="84"/>
      <c r="I33" s="84"/>
      <c r="J33" s="83"/>
      <c r="K33" s="84"/>
      <c r="L33" s="83"/>
      <c r="M33" s="84"/>
      <c r="N33" s="84"/>
      <c r="O33" s="296"/>
      <c r="P33" s="291"/>
      <c r="Q33" s="268"/>
    </row>
    <row r="34" spans="1:15" s="292" customFormat="1" ht="18" customHeight="1">
      <c r="A34" s="297"/>
      <c r="B34" s="446">
        <v>32</v>
      </c>
      <c r="C34" s="454" t="s">
        <v>567</v>
      </c>
      <c r="D34" s="104" t="s">
        <v>105</v>
      </c>
      <c r="E34" s="84"/>
      <c r="F34" s="551"/>
      <c r="G34" s="444"/>
      <c r="H34" s="84"/>
      <c r="I34" s="84"/>
      <c r="J34" s="83"/>
      <c r="K34" s="84"/>
      <c r="L34" s="83"/>
      <c r="M34" s="84"/>
      <c r="N34" s="84"/>
      <c r="O34" s="289"/>
    </row>
    <row r="35" spans="1:17" s="289" customFormat="1" ht="18" customHeight="1">
      <c r="A35" s="285"/>
      <c r="B35" s="446">
        <v>25</v>
      </c>
      <c r="C35" s="454" t="s">
        <v>567</v>
      </c>
      <c r="D35" s="104" t="s">
        <v>105</v>
      </c>
      <c r="E35" s="84"/>
      <c r="F35" s="551"/>
      <c r="G35" s="444"/>
      <c r="H35" s="43"/>
      <c r="I35" s="84"/>
      <c r="J35" s="83"/>
      <c r="K35" s="84"/>
      <c r="L35" s="83"/>
      <c r="M35" s="84"/>
      <c r="N35" s="84"/>
      <c r="O35" s="286"/>
      <c r="P35" s="287"/>
      <c r="Q35" s="288"/>
    </row>
    <row r="36" spans="1:17" s="292" customFormat="1" ht="18" customHeight="1">
      <c r="A36" s="285"/>
      <c r="B36" s="446">
        <v>20</v>
      </c>
      <c r="C36" s="454" t="s">
        <v>567</v>
      </c>
      <c r="D36" s="104" t="s">
        <v>105</v>
      </c>
      <c r="E36" s="84"/>
      <c r="F36" s="551"/>
      <c r="G36" s="444"/>
      <c r="H36" s="84"/>
      <c r="I36" s="84"/>
      <c r="J36" s="83"/>
      <c r="K36" s="84"/>
      <c r="L36" s="83"/>
      <c r="M36" s="84"/>
      <c r="N36" s="84"/>
      <c r="O36" s="296"/>
      <c r="P36" s="291"/>
      <c r="Q36" s="268"/>
    </row>
    <row r="37" spans="1:17" s="292" customFormat="1" ht="18" customHeight="1">
      <c r="A37" s="285"/>
      <c r="B37" s="446">
        <v>50</v>
      </c>
      <c r="C37" s="454" t="s">
        <v>568</v>
      </c>
      <c r="D37" s="104" t="s">
        <v>105</v>
      </c>
      <c r="E37" s="84"/>
      <c r="F37" s="551"/>
      <c r="G37" s="444"/>
      <c r="H37" s="84"/>
      <c r="I37" s="84"/>
      <c r="J37" s="83"/>
      <c r="K37" s="84"/>
      <c r="L37" s="83"/>
      <c r="M37" s="84"/>
      <c r="N37" s="84"/>
      <c r="O37" s="295"/>
      <c r="P37" s="268"/>
      <c r="Q37" s="268"/>
    </row>
    <row r="38" spans="1:17" s="292" customFormat="1" ht="18" customHeight="1">
      <c r="A38" s="285"/>
      <c r="B38" s="446">
        <v>40</v>
      </c>
      <c r="C38" s="454" t="s">
        <v>568</v>
      </c>
      <c r="D38" s="104" t="s">
        <v>105</v>
      </c>
      <c r="E38" s="84"/>
      <c r="F38" s="551"/>
      <c r="G38" s="444"/>
      <c r="H38" s="84"/>
      <c r="I38" s="84"/>
      <c r="J38" s="83"/>
      <c r="K38" s="84"/>
      <c r="L38" s="83"/>
      <c r="M38" s="84"/>
      <c r="N38" s="84"/>
      <c r="O38" s="295"/>
      <c r="P38" s="268"/>
      <c r="Q38" s="268"/>
    </row>
    <row r="39" spans="1:14" s="292" customFormat="1" ht="18" customHeight="1">
      <c r="A39" s="285"/>
      <c r="B39" s="446">
        <v>32</v>
      </c>
      <c r="C39" s="454" t="s">
        <v>568</v>
      </c>
      <c r="D39" s="104" t="s">
        <v>105</v>
      </c>
      <c r="E39" s="84"/>
      <c r="F39" s="551"/>
      <c r="G39" s="444"/>
      <c r="H39" s="84"/>
      <c r="I39" s="84"/>
      <c r="J39" s="83"/>
      <c r="K39" s="84"/>
      <c r="L39" s="83"/>
      <c r="M39" s="84"/>
      <c r="N39" s="84"/>
    </row>
    <row r="40" spans="1:16" s="283" customFormat="1" ht="18" customHeight="1">
      <c r="A40" s="285"/>
      <c r="B40" s="446">
        <v>25</v>
      </c>
      <c r="C40" s="454" t="s">
        <v>568</v>
      </c>
      <c r="D40" s="104" t="s">
        <v>105</v>
      </c>
      <c r="E40" s="84"/>
      <c r="F40" s="551"/>
      <c r="G40" s="444"/>
      <c r="H40" s="43"/>
      <c r="I40" s="84"/>
      <c r="J40" s="83"/>
      <c r="K40" s="84"/>
      <c r="L40" s="83"/>
      <c r="M40" s="84"/>
      <c r="N40" s="84"/>
      <c r="P40" s="284"/>
    </row>
    <row r="41" spans="1:14" s="292" customFormat="1" ht="18" customHeight="1">
      <c r="A41" s="285"/>
      <c r="B41" s="446">
        <v>20</v>
      </c>
      <c r="C41" s="454" t="s">
        <v>568</v>
      </c>
      <c r="D41" s="104" t="s">
        <v>105</v>
      </c>
      <c r="E41" s="84"/>
      <c r="F41" s="551"/>
      <c r="G41" s="444"/>
      <c r="H41" s="84"/>
      <c r="I41" s="84"/>
      <c r="J41" s="83"/>
      <c r="K41" s="84"/>
      <c r="L41" s="83"/>
      <c r="M41" s="84"/>
      <c r="N41" s="84"/>
    </row>
    <row r="42" spans="1:16" s="283" customFormat="1" ht="18" customHeight="1">
      <c r="A42" s="285"/>
      <c r="B42" s="446">
        <v>50</v>
      </c>
      <c r="C42" s="456" t="s">
        <v>562</v>
      </c>
      <c r="D42" s="104" t="s">
        <v>92</v>
      </c>
      <c r="E42" s="84"/>
      <c r="F42" s="551"/>
      <c r="G42" s="444"/>
      <c r="H42" s="43"/>
      <c r="I42" s="84"/>
      <c r="J42" s="83"/>
      <c r="K42" s="84"/>
      <c r="L42" s="83"/>
      <c r="M42" s="84"/>
      <c r="N42" s="84"/>
      <c r="P42" s="284"/>
    </row>
    <row r="43" spans="1:17" s="292" customFormat="1" ht="18" customHeight="1">
      <c r="A43" s="285"/>
      <c r="B43" s="446">
        <v>25</v>
      </c>
      <c r="C43" s="456" t="s">
        <v>562</v>
      </c>
      <c r="D43" s="104" t="s">
        <v>92</v>
      </c>
      <c r="E43" s="84"/>
      <c r="F43" s="551"/>
      <c r="G43" s="444"/>
      <c r="H43" s="84"/>
      <c r="I43" s="84"/>
      <c r="J43" s="83"/>
      <c r="K43" s="84"/>
      <c r="L43" s="83"/>
      <c r="M43" s="84"/>
      <c r="N43" s="84"/>
      <c r="O43" s="296"/>
      <c r="P43" s="291"/>
      <c r="Q43" s="268"/>
    </row>
    <row r="44" spans="1:15" s="292" customFormat="1" ht="18" customHeight="1">
      <c r="A44" s="285"/>
      <c r="B44" s="446">
        <v>20</v>
      </c>
      <c r="C44" s="456" t="s">
        <v>562</v>
      </c>
      <c r="D44" s="104" t="s">
        <v>92</v>
      </c>
      <c r="E44" s="84"/>
      <c r="F44" s="551"/>
      <c r="G44" s="444"/>
      <c r="H44" s="84"/>
      <c r="I44" s="84"/>
      <c r="J44" s="83"/>
      <c r="K44" s="84"/>
      <c r="L44" s="83"/>
      <c r="M44" s="84"/>
      <c r="N44" s="84"/>
      <c r="O44" s="289"/>
    </row>
    <row r="45" spans="1:16" s="283" customFormat="1" ht="18" customHeight="1">
      <c r="A45" s="450"/>
      <c r="B45" s="446">
        <v>20</v>
      </c>
      <c r="C45" s="456" t="s">
        <v>563</v>
      </c>
      <c r="D45" s="104" t="s">
        <v>92</v>
      </c>
      <c r="E45" s="452"/>
      <c r="F45" s="551"/>
      <c r="G45" s="444"/>
      <c r="H45" s="43"/>
      <c r="I45" s="84"/>
      <c r="J45" s="83"/>
      <c r="K45" s="84"/>
      <c r="L45" s="44"/>
      <c r="M45" s="44"/>
      <c r="N45" s="44"/>
      <c r="P45" s="284"/>
    </row>
    <row r="46" spans="1:17" s="292" customFormat="1" ht="18" customHeight="1">
      <c r="A46" s="297"/>
      <c r="B46" s="446">
        <v>20</v>
      </c>
      <c r="C46" s="456" t="s">
        <v>564</v>
      </c>
      <c r="D46" s="104" t="s">
        <v>92</v>
      </c>
      <c r="E46" s="301"/>
      <c r="F46" s="551"/>
      <c r="G46" s="444"/>
      <c r="H46" s="84"/>
      <c r="I46" s="84"/>
      <c r="J46" s="83"/>
      <c r="K46" s="84"/>
      <c r="L46" s="83"/>
      <c r="M46" s="84"/>
      <c r="N46" s="84"/>
      <c r="O46" s="296"/>
      <c r="P46" s="291"/>
      <c r="Q46" s="268"/>
    </row>
    <row r="47" spans="1:14" s="292" customFormat="1" ht="18" customHeight="1">
      <c r="A47" s="285"/>
      <c r="B47" s="446">
        <v>50</v>
      </c>
      <c r="C47" s="456" t="s">
        <v>558</v>
      </c>
      <c r="D47" s="104" t="s">
        <v>92</v>
      </c>
      <c r="E47" s="329"/>
      <c r="F47" s="551"/>
      <c r="G47" s="444"/>
      <c r="H47" s="84"/>
      <c r="I47" s="84"/>
      <c r="J47" s="83"/>
      <c r="K47" s="84"/>
      <c r="L47" s="83"/>
      <c r="M47" s="84"/>
      <c r="N47" s="84"/>
    </row>
    <row r="48" spans="1:14" s="292" customFormat="1" ht="18" customHeight="1">
      <c r="A48" s="297"/>
      <c r="B48" s="446">
        <v>40</v>
      </c>
      <c r="C48" s="456" t="s">
        <v>558</v>
      </c>
      <c r="D48" s="104" t="s">
        <v>92</v>
      </c>
      <c r="E48" s="330"/>
      <c r="F48" s="551"/>
      <c r="G48" s="444"/>
      <c r="H48" s="84"/>
      <c r="I48" s="84"/>
      <c r="J48" s="83"/>
      <c r="K48" s="84"/>
      <c r="L48" s="83"/>
      <c r="M48" s="84"/>
      <c r="N48" s="84"/>
    </row>
    <row r="49" spans="1:14" s="292" customFormat="1" ht="18" customHeight="1">
      <c r="A49" s="297"/>
      <c r="B49" s="446">
        <v>32</v>
      </c>
      <c r="C49" s="456" t="s">
        <v>558</v>
      </c>
      <c r="D49" s="104" t="s">
        <v>92</v>
      </c>
      <c r="E49" s="301"/>
      <c r="F49" s="551"/>
      <c r="G49" s="444"/>
      <c r="H49" s="84"/>
      <c r="I49" s="84"/>
      <c r="J49" s="83"/>
      <c r="K49" s="84"/>
      <c r="L49" s="83"/>
      <c r="M49" s="84"/>
      <c r="N49" s="84"/>
    </row>
    <row r="50" spans="1:17" s="292" customFormat="1" ht="18" customHeight="1">
      <c r="A50" s="297"/>
      <c r="B50" s="446">
        <v>25</v>
      </c>
      <c r="C50" s="456" t="s">
        <v>558</v>
      </c>
      <c r="D50" s="104" t="s">
        <v>92</v>
      </c>
      <c r="E50" s="328"/>
      <c r="F50" s="551"/>
      <c r="G50" s="444"/>
      <c r="H50" s="84"/>
      <c r="I50" s="84"/>
      <c r="J50" s="83"/>
      <c r="K50" s="84"/>
      <c r="L50" s="83"/>
      <c r="M50" s="84"/>
      <c r="N50" s="84"/>
      <c r="O50" s="296"/>
      <c r="P50" s="291"/>
      <c r="Q50" s="268"/>
    </row>
    <row r="51" spans="1:15" s="292" customFormat="1" ht="18" customHeight="1">
      <c r="A51" s="297"/>
      <c r="B51" s="446">
        <v>20</v>
      </c>
      <c r="C51" s="456" t="s">
        <v>558</v>
      </c>
      <c r="D51" s="104" t="s">
        <v>92</v>
      </c>
      <c r="E51" s="301"/>
      <c r="F51" s="551"/>
      <c r="G51" s="444"/>
      <c r="H51" s="84"/>
      <c r="I51" s="84"/>
      <c r="J51" s="83"/>
      <c r="K51" s="84"/>
      <c r="L51" s="83"/>
      <c r="M51" s="84"/>
      <c r="N51" s="84"/>
      <c r="O51" s="289"/>
    </row>
    <row r="52" spans="1:17" s="289" customFormat="1" ht="18" customHeight="1">
      <c r="A52" s="285"/>
      <c r="B52" s="446">
        <v>50</v>
      </c>
      <c r="C52" s="456" t="s">
        <v>565</v>
      </c>
      <c r="D52" s="104" t="s">
        <v>105</v>
      </c>
      <c r="E52" s="329"/>
      <c r="F52" s="551"/>
      <c r="G52" s="444"/>
      <c r="H52" s="84"/>
      <c r="I52" s="84"/>
      <c r="J52" s="83"/>
      <c r="K52" s="84"/>
      <c r="L52" s="83"/>
      <c r="M52" s="84"/>
      <c r="N52" s="84"/>
      <c r="O52" s="286"/>
      <c r="P52" s="287"/>
      <c r="Q52" s="288"/>
    </row>
    <row r="53" spans="1:17" s="289" customFormat="1" ht="18" customHeight="1">
      <c r="A53" s="344"/>
      <c r="B53" s="446">
        <v>40</v>
      </c>
      <c r="C53" s="456" t="s">
        <v>565</v>
      </c>
      <c r="D53" s="104" t="s">
        <v>105</v>
      </c>
      <c r="E53" s="348"/>
      <c r="F53" s="551"/>
      <c r="G53" s="444"/>
      <c r="H53" s="84"/>
      <c r="I53" s="84"/>
      <c r="J53" s="83"/>
      <c r="K53" s="84"/>
      <c r="L53" s="517"/>
      <c r="M53" s="517"/>
      <c r="N53" s="517"/>
      <c r="O53" s="286"/>
      <c r="P53" s="287"/>
      <c r="Q53" s="288"/>
    </row>
    <row r="54" spans="1:14" s="292" customFormat="1" ht="18" customHeight="1">
      <c r="A54" s="297"/>
      <c r="B54" s="446">
        <v>32</v>
      </c>
      <c r="C54" s="456" t="s">
        <v>565</v>
      </c>
      <c r="D54" s="104" t="s">
        <v>105</v>
      </c>
      <c r="E54" s="301"/>
      <c r="F54" s="551"/>
      <c r="G54" s="444"/>
      <c r="H54" s="84"/>
      <c r="I54" s="84"/>
      <c r="J54" s="83"/>
      <c r="K54" s="84"/>
      <c r="L54" s="83"/>
      <c r="M54" s="84"/>
      <c r="N54" s="84"/>
    </row>
    <row r="55" spans="1:14" s="292" customFormat="1" ht="18" customHeight="1">
      <c r="A55" s="297"/>
      <c r="B55" s="446">
        <v>25</v>
      </c>
      <c r="C55" s="456" t="s">
        <v>565</v>
      </c>
      <c r="D55" s="104" t="s">
        <v>105</v>
      </c>
      <c r="E55" s="328"/>
      <c r="F55" s="551"/>
      <c r="G55" s="444"/>
      <c r="H55" s="84"/>
      <c r="I55" s="84"/>
      <c r="J55" s="83"/>
      <c r="K55" s="84"/>
      <c r="L55" s="83"/>
      <c r="M55" s="84"/>
      <c r="N55" s="84"/>
    </row>
    <row r="56" spans="1:17" s="292" customFormat="1" ht="18" customHeight="1">
      <c r="A56" s="297"/>
      <c r="B56" s="446">
        <v>20</v>
      </c>
      <c r="C56" s="456" t="s">
        <v>565</v>
      </c>
      <c r="D56" s="104" t="s">
        <v>105</v>
      </c>
      <c r="E56" s="299"/>
      <c r="F56" s="551"/>
      <c r="G56" s="444"/>
      <c r="H56" s="84"/>
      <c r="I56" s="84"/>
      <c r="J56" s="83"/>
      <c r="K56" s="84"/>
      <c r="L56" s="83"/>
      <c r="M56" s="84"/>
      <c r="N56" s="84"/>
      <c r="O56" s="296"/>
      <c r="P56" s="291"/>
      <c r="Q56" s="268"/>
    </row>
    <row r="57" spans="1:15" s="292" customFormat="1" ht="18" customHeight="1">
      <c r="A57" s="285"/>
      <c r="B57" s="446"/>
      <c r="C57" s="456" t="s">
        <v>566</v>
      </c>
      <c r="D57" s="446"/>
      <c r="E57" s="329"/>
      <c r="F57" s="551"/>
      <c r="G57" s="444"/>
      <c r="H57" s="84"/>
      <c r="I57" s="84"/>
      <c r="J57" s="83"/>
      <c r="K57" s="84"/>
      <c r="L57" s="83"/>
      <c r="M57" s="84"/>
      <c r="N57" s="84"/>
      <c r="O57" s="289"/>
    </row>
    <row r="58" spans="1:16" s="283" customFormat="1" ht="18" customHeight="1">
      <c r="A58" s="276"/>
      <c r="B58" s="336"/>
      <c r="C58" s="277" t="s">
        <v>569</v>
      </c>
      <c r="D58" s="278"/>
      <c r="E58" s="327"/>
      <c r="F58" s="551"/>
      <c r="G58" s="444"/>
      <c r="H58" s="43"/>
      <c r="I58" s="44"/>
      <c r="J58" s="44"/>
      <c r="K58" s="516"/>
      <c r="L58" s="44"/>
      <c r="M58" s="44"/>
      <c r="N58" s="44"/>
      <c r="P58" s="284"/>
    </row>
    <row r="59" spans="1:17" s="292" customFormat="1" ht="18" customHeight="1">
      <c r="A59" s="297"/>
      <c r="B59" s="449"/>
      <c r="C59" s="459" t="s">
        <v>570</v>
      </c>
      <c r="D59" s="461" t="s">
        <v>535</v>
      </c>
      <c r="E59" s="330"/>
      <c r="F59" s="551"/>
      <c r="G59" s="444"/>
      <c r="H59" s="84"/>
      <c r="I59" s="84"/>
      <c r="J59" s="83"/>
      <c r="K59" s="84"/>
      <c r="L59" s="83"/>
      <c r="M59" s="84"/>
      <c r="N59" s="84"/>
      <c r="O59" s="296"/>
      <c r="P59" s="291"/>
      <c r="Q59" s="268"/>
    </row>
    <row r="60" spans="1:14" s="292" customFormat="1" ht="18" customHeight="1">
      <c r="A60" s="297"/>
      <c r="B60" s="449"/>
      <c r="C60" s="460" t="s">
        <v>571</v>
      </c>
      <c r="D60" s="461" t="s">
        <v>535</v>
      </c>
      <c r="E60" s="328"/>
      <c r="F60" s="551"/>
      <c r="G60" s="444"/>
      <c r="H60" s="84"/>
      <c r="I60" s="84"/>
      <c r="J60" s="83"/>
      <c r="K60" s="84"/>
      <c r="L60" s="83"/>
      <c r="M60" s="84"/>
      <c r="N60" s="84"/>
    </row>
    <row r="61" spans="1:17" s="292" customFormat="1" ht="18" customHeight="1">
      <c r="A61" s="297"/>
      <c r="B61" s="453"/>
      <c r="C61" s="445" t="s">
        <v>572</v>
      </c>
      <c r="D61" s="461" t="s">
        <v>535</v>
      </c>
      <c r="E61" s="301"/>
      <c r="F61" s="551"/>
      <c r="G61" s="444"/>
      <c r="H61" s="84"/>
      <c r="I61" s="84"/>
      <c r="J61" s="83"/>
      <c r="K61" s="84"/>
      <c r="L61" s="83"/>
      <c r="M61" s="84"/>
      <c r="N61" s="84"/>
      <c r="O61" s="296"/>
      <c r="P61" s="291"/>
      <c r="Q61" s="268"/>
    </row>
    <row r="62" spans="1:15" s="292" customFormat="1" ht="18" customHeight="1">
      <c r="A62" s="285"/>
      <c r="B62" s="453"/>
      <c r="C62" s="445" t="s">
        <v>573</v>
      </c>
      <c r="D62" s="461" t="s">
        <v>535</v>
      </c>
      <c r="E62" s="329"/>
      <c r="F62" s="551"/>
      <c r="G62" s="444"/>
      <c r="H62" s="84"/>
      <c r="I62" s="84"/>
      <c r="J62" s="83"/>
      <c r="K62" s="84"/>
      <c r="L62" s="83"/>
      <c r="M62" s="84"/>
      <c r="N62" s="84"/>
      <c r="O62" s="289"/>
    </row>
    <row r="63" spans="1:16" s="283" customFormat="1" ht="39" customHeight="1">
      <c r="A63" s="276"/>
      <c r="B63" s="336"/>
      <c r="C63" s="277" t="s">
        <v>574</v>
      </c>
      <c r="D63" s="278"/>
      <c r="E63" s="327"/>
      <c r="F63" s="551"/>
      <c r="G63" s="444"/>
      <c r="H63" s="43"/>
      <c r="I63" s="44"/>
      <c r="J63" s="44"/>
      <c r="K63" s="516"/>
      <c r="L63" s="44"/>
      <c r="M63" s="44"/>
      <c r="N63" s="44"/>
      <c r="P63" s="284"/>
    </row>
    <row r="64" spans="1:17" s="292" customFormat="1" ht="54" customHeight="1">
      <c r="A64" s="297"/>
      <c r="B64" s="453"/>
      <c r="C64" s="445" t="s">
        <v>575</v>
      </c>
      <c r="D64" s="446" t="s">
        <v>535</v>
      </c>
      <c r="E64" s="301"/>
      <c r="F64" s="551"/>
      <c r="G64" s="444"/>
      <c r="H64" s="84"/>
      <c r="I64" s="84"/>
      <c r="J64" s="83"/>
      <c r="K64" s="84"/>
      <c r="L64" s="83"/>
      <c r="M64" s="84"/>
      <c r="N64" s="84"/>
      <c r="O64" s="296"/>
      <c r="P64" s="291"/>
      <c r="Q64" s="268"/>
    </row>
    <row r="65" spans="1:14" s="292" customFormat="1" ht="18" customHeight="1">
      <c r="A65" s="297"/>
      <c r="B65" s="449"/>
      <c r="C65" s="445" t="s">
        <v>576</v>
      </c>
      <c r="D65" s="446" t="s">
        <v>535</v>
      </c>
      <c r="E65" s="328"/>
      <c r="F65" s="551"/>
      <c r="G65" s="444"/>
      <c r="H65" s="84"/>
      <c r="I65" s="84"/>
      <c r="J65" s="83"/>
      <c r="K65" s="84"/>
      <c r="L65" s="83"/>
      <c r="M65" s="84"/>
      <c r="N65" s="84"/>
    </row>
    <row r="66" spans="1:17" s="292" customFormat="1" ht="18" customHeight="1">
      <c r="A66" s="297"/>
      <c r="B66" s="449"/>
      <c r="C66" s="445" t="s">
        <v>577</v>
      </c>
      <c r="D66" s="446" t="s">
        <v>535</v>
      </c>
      <c r="E66" s="301"/>
      <c r="F66" s="551"/>
      <c r="G66" s="444"/>
      <c r="H66" s="84"/>
      <c r="I66" s="84"/>
      <c r="J66" s="83"/>
      <c r="K66" s="84"/>
      <c r="L66" s="83"/>
      <c r="M66" s="84"/>
      <c r="N66" s="84"/>
      <c r="O66" s="296"/>
      <c r="P66" s="291"/>
      <c r="Q66" s="268"/>
    </row>
    <row r="67" spans="1:15" s="292" customFormat="1" ht="18" customHeight="1">
      <c r="A67" s="285"/>
      <c r="B67" s="449"/>
      <c r="C67" s="445" t="s">
        <v>578</v>
      </c>
      <c r="D67" s="104" t="s">
        <v>105</v>
      </c>
      <c r="E67" s="329"/>
      <c r="F67" s="551"/>
      <c r="G67" s="444"/>
      <c r="H67" s="84"/>
      <c r="I67" s="84"/>
      <c r="J67" s="83"/>
      <c r="K67" s="84"/>
      <c r="L67" s="83"/>
      <c r="M67" s="84"/>
      <c r="N67" s="84"/>
      <c r="O67" s="289"/>
    </row>
    <row r="68" spans="1:17" s="289" customFormat="1" ht="18" customHeight="1">
      <c r="A68" s="297"/>
      <c r="B68" s="449"/>
      <c r="C68" s="445" t="s">
        <v>579</v>
      </c>
      <c r="D68" s="104" t="s">
        <v>105</v>
      </c>
      <c r="E68" s="330"/>
      <c r="F68" s="551"/>
      <c r="G68" s="444"/>
      <c r="H68" s="84"/>
      <c r="I68" s="84"/>
      <c r="J68" s="83"/>
      <c r="K68" s="84"/>
      <c r="L68" s="83"/>
      <c r="M68" s="84"/>
      <c r="N68" s="84"/>
      <c r="O68" s="286"/>
      <c r="P68" s="287"/>
      <c r="Q68" s="288"/>
    </row>
    <row r="69" spans="1:17" s="292" customFormat="1" ht="18" customHeight="1">
      <c r="A69" s="297"/>
      <c r="B69" s="449"/>
      <c r="C69" s="445" t="s">
        <v>794</v>
      </c>
      <c r="D69" s="104" t="s">
        <v>92</v>
      </c>
      <c r="E69" s="301"/>
      <c r="F69" s="551"/>
      <c r="G69" s="444"/>
      <c r="H69" s="84"/>
      <c r="I69" s="84"/>
      <c r="J69" s="83"/>
      <c r="K69" s="84"/>
      <c r="L69" s="83"/>
      <c r="M69" s="84"/>
      <c r="N69" s="84"/>
      <c r="O69" s="296"/>
      <c r="P69" s="291"/>
      <c r="Q69" s="268"/>
    </row>
    <row r="70" spans="1:17" s="289" customFormat="1" ht="18" customHeight="1">
      <c r="A70" s="297"/>
      <c r="B70" s="449"/>
      <c r="C70" s="462" t="s">
        <v>580</v>
      </c>
      <c r="D70" s="104" t="s">
        <v>92</v>
      </c>
      <c r="E70" s="328"/>
      <c r="F70" s="551"/>
      <c r="G70" s="444"/>
      <c r="H70" s="84"/>
      <c r="I70" s="84"/>
      <c r="J70" s="83"/>
      <c r="K70" s="84"/>
      <c r="L70" s="83"/>
      <c r="M70" s="84"/>
      <c r="N70" s="84"/>
      <c r="O70" s="286"/>
      <c r="P70" s="287"/>
      <c r="Q70" s="288"/>
    </row>
    <row r="71" spans="1:17" s="292" customFormat="1" ht="18" customHeight="1">
      <c r="A71" s="297"/>
      <c r="B71" s="453"/>
      <c r="C71" s="462" t="s">
        <v>581</v>
      </c>
      <c r="D71" s="104" t="s">
        <v>92</v>
      </c>
      <c r="E71" s="301"/>
      <c r="F71" s="551"/>
      <c r="G71" s="444"/>
      <c r="H71" s="84"/>
      <c r="I71" s="84"/>
      <c r="J71" s="83"/>
      <c r="K71" s="84"/>
      <c r="L71" s="83"/>
      <c r="M71" s="84"/>
      <c r="N71" s="84"/>
      <c r="O71" s="296"/>
      <c r="P71" s="291"/>
      <c r="Q71" s="268"/>
    </row>
    <row r="72" spans="1:14" s="292" customFormat="1" ht="18" customHeight="1">
      <c r="A72" s="285"/>
      <c r="B72" s="453"/>
      <c r="C72" s="462" t="s">
        <v>582</v>
      </c>
      <c r="D72" s="104" t="s">
        <v>92</v>
      </c>
      <c r="E72" s="329"/>
      <c r="F72" s="551"/>
      <c r="G72" s="444"/>
      <c r="H72" s="84"/>
      <c r="I72" s="84"/>
      <c r="J72" s="83"/>
      <c r="K72" s="84"/>
      <c r="L72" s="83"/>
      <c r="M72" s="84"/>
      <c r="N72" s="84"/>
    </row>
    <row r="73" spans="1:14" s="292" customFormat="1" ht="18" customHeight="1">
      <c r="A73" s="297"/>
      <c r="B73" s="453"/>
      <c r="C73" s="462" t="s">
        <v>583</v>
      </c>
      <c r="D73" s="104" t="s">
        <v>92</v>
      </c>
      <c r="E73" s="330"/>
      <c r="F73" s="551"/>
      <c r="G73" s="444"/>
      <c r="H73" s="84"/>
      <c r="I73" s="84"/>
      <c r="J73" s="83"/>
      <c r="K73" s="84"/>
      <c r="L73" s="83"/>
      <c r="M73" s="84"/>
      <c r="N73" s="84"/>
    </row>
    <row r="74" spans="1:14" s="292" customFormat="1" ht="18" customHeight="1">
      <c r="A74" s="297"/>
      <c r="B74" s="453"/>
      <c r="C74" s="462" t="s">
        <v>584</v>
      </c>
      <c r="D74" s="104" t="s">
        <v>92</v>
      </c>
      <c r="E74" s="301"/>
      <c r="F74" s="551"/>
      <c r="G74" s="444"/>
      <c r="H74" s="84"/>
      <c r="I74" s="84"/>
      <c r="J74" s="83"/>
      <c r="K74" s="84"/>
      <c r="L74" s="83"/>
      <c r="M74" s="84"/>
      <c r="N74" s="84"/>
    </row>
    <row r="75" spans="1:16" s="283" customFormat="1" ht="18" customHeight="1">
      <c r="A75" s="450"/>
      <c r="B75" s="451"/>
      <c r="C75" s="462" t="s">
        <v>585</v>
      </c>
      <c r="D75" s="104" t="s">
        <v>92</v>
      </c>
      <c r="E75" s="452"/>
      <c r="F75" s="551"/>
      <c r="G75" s="444"/>
      <c r="H75" s="43"/>
      <c r="I75" s="84"/>
      <c r="J75" s="83"/>
      <c r="K75" s="84"/>
      <c r="L75" s="83"/>
      <c r="M75" s="84"/>
      <c r="N75" s="84"/>
      <c r="P75" s="284"/>
    </row>
    <row r="76" spans="1:17" s="292" customFormat="1" ht="18" customHeight="1">
      <c r="A76" s="285"/>
      <c r="B76" s="447"/>
      <c r="C76" s="445" t="s">
        <v>586</v>
      </c>
      <c r="D76" s="104" t="s">
        <v>92</v>
      </c>
      <c r="E76" s="301"/>
      <c r="F76" s="551"/>
      <c r="G76" s="444"/>
      <c r="H76" s="84"/>
      <c r="I76" s="84"/>
      <c r="J76" s="83"/>
      <c r="K76" s="84"/>
      <c r="L76" s="83"/>
      <c r="M76" s="84"/>
      <c r="N76" s="84"/>
      <c r="O76" s="296"/>
      <c r="P76" s="291"/>
      <c r="Q76" s="268"/>
    </row>
    <row r="77" spans="1:17" s="292" customFormat="1" ht="18" customHeight="1">
      <c r="A77" s="285"/>
      <c r="B77" s="448"/>
      <c r="C77" s="445" t="s">
        <v>587</v>
      </c>
      <c r="D77" s="104" t="s">
        <v>105</v>
      </c>
      <c r="E77" s="329"/>
      <c r="F77" s="551"/>
      <c r="G77" s="444"/>
      <c r="H77" s="84"/>
      <c r="I77" s="84"/>
      <c r="J77" s="83"/>
      <c r="K77" s="84"/>
      <c r="L77" s="83"/>
      <c r="M77" s="84"/>
      <c r="N77" s="84"/>
      <c r="O77" s="295"/>
      <c r="P77" s="268"/>
      <c r="Q77" s="268"/>
    </row>
    <row r="78" spans="1:17" s="292" customFormat="1" ht="18" customHeight="1">
      <c r="A78" s="285"/>
      <c r="B78" s="448"/>
      <c r="C78" s="445" t="s">
        <v>591</v>
      </c>
      <c r="D78" s="104" t="s">
        <v>105</v>
      </c>
      <c r="E78" s="330"/>
      <c r="F78" s="551"/>
      <c r="G78" s="444"/>
      <c r="H78" s="84"/>
      <c r="I78" s="84"/>
      <c r="J78" s="83"/>
      <c r="K78" s="84"/>
      <c r="L78" s="83"/>
      <c r="M78" s="84"/>
      <c r="N78" s="84"/>
      <c r="O78" s="295"/>
      <c r="P78" s="268"/>
      <c r="Q78" s="268"/>
    </row>
    <row r="79" spans="1:14" s="292" customFormat="1" ht="18" customHeight="1">
      <c r="A79" s="285"/>
      <c r="B79" s="448"/>
      <c r="C79" s="445" t="s">
        <v>588</v>
      </c>
      <c r="D79" s="104" t="s">
        <v>92</v>
      </c>
      <c r="E79" s="301"/>
      <c r="F79" s="551"/>
      <c r="G79" s="444"/>
      <c r="H79" s="84"/>
      <c r="I79" s="84"/>
      <c r="J79" s="83"/>
      <c r="K79" s="84"/>
      <c r="L79" s="83"/>
      <c r="M79" s="84"/>
      <c r="N79" s="84"/>
    </row>
    <row r="80" spans="1:17" s="289" customFormat="1" ht="18" customHeight="1">
      <c r="A80" s="297"/>
      <c r="B80" s="447"/>
      <c r="C80" s="445" t="s">
        <v>589</v>
      </c>
      <c r="D80" s="104" t="s">
        <v>92</v>
      </c>
      <c r="E80" s="328"/>
      <c r="F80" s="551"/>
      <c r="G80" s="444"/>
      <c r="H80" s="84"/>
      <c r="I80" s="84"/>
      <c r="J80" s="83"/>
      <c r="K80" s="84"/>
      <c r="L80" s="83"/>
      <c r="M80" s="84"/>
      <c r="N80" s="84"/>
      <c r="O80" s="286"/>
      <c r="P80" s="287"/>
      <c r="Q80" s="288"/>
    </row>
    <row r="81" spans="1:17" s="292" customFormat="1" ht="18" customHeight="1">
      <c r="A81" s="297"/>
      <c r="B81" s="447"/>
      <c r="C81" s="445" t="s">
        <v>590</v>
      </c>
      <c r="D81" s="446"/>
      <c r="E81" s="301"/>
      <c r="F81" s="551"/>
      <c r="G81" s="444"/>
      <c r="H81" s="84"/>
      <c r="I81" s="84"/>
      <c r="J81" s="83"/>
      <c r="K81" s="84"/>
      <c r="L81" s="83"/>
      <c r="M81" s="84"/>
      <c r="N81" s="84"/>
      <c r="O81" s="296"/>
      <c r="P81" s="291"/>
      <c r="Q81" s="268"/>
    </row>
    <row r="82" spans="1:17" s="313" customFormat="1" ht="15" customHeight="1" thickBot="1">
      <c r="A82" s="267"/>
      <c r="B82" s="324"/>
      <c r="C82" s="308"/>
      <c r="D82" s="308"/>
      <c r="E82" s="332"/>
      <c r="F82" s="534"/>
      <c r="G82" s="534"/>
      <c r="H82" s="519"/>
      <c r="I82" s="520"/>
      <c r="J82" s="520"/>
      <c r="K82" s="521"/>
      <c r="L82" s="520"/>
      <c r="M82" s="521"/>
      <c r="N82" s="522"/>
      <c r="P82" s="267"/>
      <c r="Q82" s="267"/>
    </row>
    <row r="83" spans="1:17" s="202" customFormat="1" ht="18" customHeight="1">
      <c r="A83" s="197"/>
      <c r="B83" s="198"/>
      <c r="C83" s="160" t="s">
        <v>358</v>
      </c>
      <c r="D83" s="114"/>
      <c r="E83" s="114"/>
      <c r="F83" s="165"/>
      <c r="G83" s="165"/>
      <c r="H83" s="165"/>
      <c r="I83" s="166">
        <f>SUM(I11:I82)</f>
        <v>0</v>
      </c>
      <c r="J83" s="166"/>
      <c r="K83" s="166">
        <f>SUM(K11:K82)</f>
        <v>0</v>
      </c>
      <c r="L83" s="166"/>
      <c r="M83" s="166">
        <f>SUM(M11:M82)</f>
        <v>0</v>
      </c>
      <c r="N83" s="166">
        <f>SUM(N11:N82)</f>
        <v>0</v>
      </c>
      <c r="O83" s="199"/>
      <c r="P83" s="200"/>
      <c r="Q83" s="201"/>
    </row>
    <row r="84" spans="1:17" s="67" customFormat="1" ht="18" customHeight="1">
      <c r="A84" s="203"/>
      <c r="B84" s="123"/>
      <c r="C84" s="63" t="s">
        <v>133</v>
      </c>
      <c r="D84" s="72">
        <v>0.03</v>
      </c>
      <c r="E84" s="5"/>
      <c r="F84" s="204"/>
      <c r="G84" s="204"/>
      <c r="H84" s="63"/>
      <c r="I84" s="64"/>
      <c r="J84" s="64"/>
      <c r="K84" s="64"/>
      <c r="L84" s="64"/>
      <c r="M84" s="64"/>
      <c r="N84" s="65">
        <f>I83*D84</f>
        <v>0</v>
      </c>
      <c r="O84" s="205"/>
      <c r="P84" s="219"/>
      <c r="Q84" s="219"/>
    </row>
    <row r="85" spans="1:17" s="61" customFormat="1" ht="18" customHeight="1">
      <c r="A85" s="203"/>
      <c r="B85" s="123"/>
      <c r="C85" s="63" t="s">
        <v>68</v>
      </c>
      <c r="D85" s="69"/>
      <c r="E85" s="5"/>
      <c r="F85" s="68"/>
      <c r="G85" s="68"/>
      <c r="H85" s="68"/>
      <c r="I85" s="70"/>
      <c r="J85" s="70"/>
      <c r="K85" s="70"/>
      <c r="L85" s="70"/>
      <c r="M85" s="70"/>
      <c r="N85" s="65">
        <f>SUM(N83:N84)</f>
        <v>0</v>
      </c>
      <c r="O85" s="124"/>
      <c r="P85" s="220"/>
      <c r="Q85" s="220"/>
    </row>
    <row r="86" spans="1:17" s="67" customFormat="1" ht="18" customHeight="1">
      <c r="A86" s="203"/>
      <c r="B86" s="123"/>
      <c r="C86" s="63" t="s">
        <v>123</v>
      </c>
      <c r="D86" s="72">
        <v>0.1</v>
      </c>
      <c r="E86" s="5"/>
      <c r="F86" s="204"/>
      <c r="G86" s="204"/>
      <c r="H86" s="63"/>
      <c r="I86" s="64"/>
      <c r="J86" s="64"/>
      <c r="K86" s="64"/>
      <c r="L86" s="64"/>
      <c r="M86" s="64"/>
      <c r="N86" s="65">
        <f>N85*D86</f>
        <v>0</v>
      </c>
      <c r="O86" s="205"/>
      <c r="P86" s="219"/>
      <c r="Q86" s="219"/>
    </row>
    <row r="87" spans="1:17" s="61" customFormat="1" ht="18" customHeight="1">
      <c r="A87" s="203"/>
      <c r="B87" s="123"/>
      <c r="C87" s="63" t="s">
        <v>68</v>
      </c>
      <c r="D87" s="69"/>
      <c r="E87" s="5"/>
      <c r="F87" s="68"/>
      <c r="G87" s="68"/>
      <c r="H87" s="68"/>
      <c r="I87" s="70"/>
      <c r="J87" s="70"/>
      <c r="K87" s="70"/>
      <c r="L87" s="70"/>
      <c r="M87" s="70"/>
      <c r="N87" s="65">
        <f>SUM(N85:N86)</f>
        <v>0</v>
      </c>
      <c r="O87" s="124"/>
      <c r="P87" s="220"/>
      <c r="Q87" s="220"/>
    </row>
    <row r="88" spans="1:15" s="67" customFormat="1" ht="18" customHeight="1">
      <c r="A88" s="203"/>
      <c r="B88" s="123"/>
      <c r="C88" s="63" t="s">
        <v>124</v>
      </c>
      <c r="D88" s="72">
        <v>0.08</v>
      </c>
      <c r="E88" s="5"/>
      <c r="F88" s="204"/>
      <c r="G88" s="204"/>
      <c r="H88" s="63"/>
      <c r="I88" s="64"/>
      <c r="J88" s="64"/>
      <c r="K88" s="64"/>
      <c r="L88" s="64"/>
      <c r="M88" s="64"/>
      <c r="N88" s="65">
        <f>N87*D88</f>
        <v>0</v>
      </c>
      <c r="O88" s="124"/>
    </row>
    <row r="89" spans="1:15" s="210" customFormat="1" ht="21" customHeight="1" thickBot="1">
      <c r="A89" s="206"/>
      <c r="B89" s="207"/>
      <c r="C89" s="161" t="s">
        <v>141</v>
      </c>
      <c r="D89" s="115"/>
      <c r="E89" s="116"/>
      <c r="F89" s="208"/>
      <c r="G89" s="208"/>
      <c r="H89" s="161"/>
      <c r="I89" s="167"/>
      <c r="J89" s="167"/>
      <c r="K89" s="167"/>
      <c r="L89" s="167"/>
      <c r="M89" s="167"/>
      <c r="N89" s="168">
        <f>SUM(N87:N88)</f>
        <v>0</v>
      </c>
      <c r="O89" s="209"/>
    </row>
    <row r="90" spans="1:15" s="86" customFormat="1" ht="15">
      <c r="A90" s="24"/>
      <c r="B90" s="90"/>
      <c r="C90" s="162"/>
      <c r="D90" s="117"/>
      <c r="E90" s="24"/>
      <c r="F90" s="162"/>
      <c r="G90" s="162"/>
      <c r="H90" s="162"/>
      <c r="I90" s="162"/>
      <c r="J90" s="169"/>
      <c r="K90" s="162"/>
      <c r="L90" s="169"/>
      <c r="M90" s="162"/>
      <c r="N90" s="67"/>
      <c r="O90" s="211"/>
    </row>
    <row r="91" spans="1:15" s="86" customFormat="1" ht="15">
      <c r="A91" s="24"/>
      <c r="B91" s="90"/>
      <c r="C91" s="82"/>
      <c r="D91" s="117"/>
      <c r="E91" s="24"/>
      <c r="F91" s="162"/>
      <c r="G91" s="162"/>
      <c r="H91" s="162"/>
      <c r="I91" s="162"/>
      <c r="J91" s="169"/>
      <c r="K91" s="162"/>
      <c r="L91" s="169"/>
      <c r="M91" s="162"/>
      <c r="N91" s="67"/>
      <c r="O91" s="142"/>
    </row>
    <row r="92" spans="1:15" s="86" customFormat="1" ht="15">
      <c r="A92" s="24"/>
      <c r="B92" s="90"/>
      <c r="C92" s="82"/>
      <c r="D92" s="117"/>
      <c r="E92" s="24"/>
      <c r="F92" s="162"/>
      <c r="G92" s="162"/>
      <c r="H92" s="162"/>
      <c r="I92" s="162"/>
      <c r="J92" s="169"/>
      <c r="K92" s="162"/>
      <c r="L92" s="169"/>
      <c r="M92" s="162"/>
      <c r="N92" s="67"/>
      <c r="O92" s="142"/>
    </row>
    <row r="93" spans="1:15" s="86" customFormat="1" ht="15">
      <c r="A93" s="24"/>
      <c r="B93" s="90"/>
      <c r="C93" s="15"/>
      <c r="D93" s="117"/>
      <c r="E93" s="24"/>
      <c r="F93" s="162"/>
      <c r="G93" s="162"/>
      <c r="H93" s="162"/>
      <c r="I93" s="162"/>
      <c r="J93" s="169"/>
      <c r="K93" s="170"/>
      <c r="L93" s="169"/>
      <c r="M93" s="162"/>
      <c r="N93" s="67"/>
      <c r="O93" s="142"/>
    </row>
    <row r="94" spans="1:15" s="163" customFormat="1" ht="18" customHeight="1">
      <c r="A94" s="118"/>
      <c r="B94" s="212"/>
      <c r="D94" s="118"/>
      <c r="E94" s="119"/>
      <c r="H94" s="678"/>
      <c r="I94" s="678"/>
      <c r="J94" s="678"/>
      <c r="N94" s="27"/>
      <c r="O94" s="176"/>
    </row>
    <row r="95" spans="1:17" s="320" customFormat="1" ht="15">
      <c r="A95" s="267"/>
      <c r="B95" s="340"/>
      <c r="C95" s="315"/>
      <c r="D95" s="315"/>
      <c r="E95" s="324"/>
      <c r="F95" s="513"/>
      <c r="G95" s="513"/>
      <c r="H95" s="513"/>
      <c r="I95" s="513"/>
      <c r="J95" s="523"/>
      <c r="K95" s="513"/>
      <c r="L95" s="523"/>
      <c r="M95" s="513"/>
      <c r="N95" s="524"/>
      <c r="O95" s="319"/>
      <c r="P95" s="319"/>
      <c r="Q95" s="319"/>
    </row>
    <row r="96" spans="1:17" s="320" customFormat="1" ht="15">
      <c r="A96" s="267"/>
      <c r="B96" s="340"/>
      <c r="C96" s="315"/>
      <c r="D96" s="315"/>
      <c r="E96" s="324"/>
      <c r="F96" s="513"/>
      <c r="G96" s="513"/>
      <c r="H96" s="513"/>
      <c r="I96" s="513"/>
      <c r="J96" s="523"/>
      <c r="K96" s="513"/>
      <c r="L96" s="523"/>
      <c r="M96" s="513"/>
      <c r="N96" s="524"/>
      <c r="O96" s="319"/>
      <c r="P96" s="319"/>
      <c r="Q96" s="319"/>
    </row>
    <row r="97" spans="1:17" s="320" customFormat="1" ht="15">
      <c r="A97" s="267"/>
      <c r="B97" s="340"/>
      <c r="C97" s="315"/>
      <c r="D97" s="315"/>
      <c r="E97" s="324"/>
      <c r="F97" s="513"/>
      <c r="G97" s="513"/>
      <c r="H97" s="513"/>
      <c r="I97" s="513"/>
      <c r="J97" s="523"/>
      <c r="K97" s="513"/>
      <c r="L97" s="523"/>
      <c r="M97" s="513"/>
      <c r="N97" s="524"/>
      <c r="O97" s="319"/>
      <c r="P97" s="319"/>
      <c r="Q97" s="319"/>
    </row>
    <row r="98" spans="1:17" s="320" customFormat="1" ht="15">
      <c r="A98" s="267"/>
      <c r="B98" s="340"/>
      <c r="C98" s="315"/>
      <c r="D98" s="315"/>
      <c r="E98" s="324"/>
      <c r="F98" s="513"/>
      <c r="G98" s="513"/>
      <c r="H98" s="513"/>
      <c r="I98" s="513"/>
      <c r="J98" s="523"/>
      <c r="K98" s="513"/>
      <c r="L98" s="523"/>
      <c r="M98" s="513"/>
      <c r="N98" s="524"/>
      <c r="O98" s="319"/>
      <c r="P98" s="319"/>
      <c r="Q98" s="319"/>
    </row>
    <row r="99" spans="1:17" s="320" customFormat="1" ht="15">
      <c r="A99" s="267"/>
      <c r="B99" s="340"/>
      <c r="C99" s="315"/>
      <c r="D99" s="315"/>
      <c r="E99" s="324"/>
      <c r="F99" s="513"/>
      <c r="G99" s="513"/>
      <c r="H99" s="513"/>
      <c r="I99" s="513"/>
      <c r="J99" s="523"/>
      <c r="K99" s="513"/>
      <c r="L99" s="523"/>
      <c r="M99" s="513"/>
      <c r="N99" s="524"/>
      <c r="O99" s="319"/>
      <c r="P99" s="319"/>
      <c r="Q99" s="319"/>
    </row>
    <row r="100" spans="1:17" s="320" customFormat="1" ht="15">
      <c r="A100" s="267"/>
      <c r="B100" s="340"/>
      <c r="C100" s="315"/>
      <c r="D100" s="315"/>
      <c r="E100" s="324"/>
      <c r="F100" s="513"/>
      <c r="G100" s="513"/>
      <c r="H100" s="513"/>
      <c r="I100" s="513"/>
      <c r="J100" s="523"/>
      <c r="K100" s="513"/>
      <c r="L100" s="523"/>
      <c r="M100" s="513"/>
      <c r="N100" s="524"/>
      <c r="O100" s="319"/>
      <c r="P100" s="319"/>
      <c r="Q100" s="319"/>
    </row>
    <row r="101" spans="1:17" s="320" customFormat="1" ht="15">
      <c r="A101" s="267"/>
      <c r="B101" s="340"/>
      <c r="C101" s="315"/>
      <c r="D101" s="315"/>
      <c r="E101" s="324"/>
      <c r="F101" s="513"/>
      <c r="G101" s="513"/>
      <c r="H101" s="513"/>
      <c r="I101" s="513"/>
      <c r="J101" s="523"/>
      <c r="K101" s="513"/>
      <c r="L101" s="523"/>
      <c r="M101" s="513"/>
      <c r="N101" s="524"/>
      <c r="O101" s="319"/>
      <c r="P101" s="319"/>
      <c r="Q101" s="319"/>
    </row>
    <row r="102" spans="1:17" s="320" customFormat="1" ht="15">
      <c r="A102" s="267"/>
      <c r="B102" s="340"/>
      <c r="C102" s="315"/>
      <c r="D102" s="315"/>
      <c r="E102" s="324"/>
      <c r="F102" s="513"/>
      <c r="G102" s="513"/>
      <c r="H102" s="513"/>
      <c r="I102" s="513"/>
      <c r="J102" s="523"/>
      <c r="K102" s="513"/>
      <c r="L102" s="523"/>
      <c r="M102" s="513"/>
      <c r="N102" s="524"/>
      <c r="O102" s="319"/>
      <c r="P102" s="319"/>
      <c r="Q102" s="319"/>
    </row>
    <row r="103" spans="1:17" s="320" customFormat="1" ht="15">
      <c r="A103" s="267"/>
      <c r="B103" s="340"/>
      <c r="C103" s="315"/>
      <c r="D103" s="315"/>
      <c r="E103" s="324"/>
      <c r="F103" s="513"/>
      <c r="G103" s="513"/>
      <c r="H103" s="513"/>
      <c r="I103" s="513"/>
      <c r="J103" s="523"/>
      <c r="K103" s="513"/>
      <c r="L103" s="523"/>
      <c r="M103" s="513"/>
      <c r="N103" s="524"/>
      <c r="O103" s="319"/>
      <c r="P103" s="319"/>
      <c r="Q103" s="319"/>
    </row>
    <row r="104" spans="1:17" s="320" customFormat="1" ht="15">
      <c r="A104" s="267"/>
      <c r="B104" s="340"/>
      <c r="C104" s="315"/>
      <c r="D104" s="315"/>
      <c r="E104" s="324"/>
      <c r="F104" s="513"/>
      <c r="G104" s="513"/>
      <c r="H104" s="513"/>
      <c r="I104" s="513"/>
      <c r="J104" s="523"/>
      <c r="K104" s="513"/>
      <c r="L104" s="523"/>
      <c r="M104" s="513"/>
      <c r="N104" s="524"/>
      <c r="O104" s="319"/>
      <c r="P104" s="319"/>
      <c r="Q104" s="319"/>
    </row>
    <row r="105" spans="1:17" s="320" customFormat="1" ht="15">
      <c r="A105" s="267"/>
      <c r="B105" s="340"/>
      <c r="C105" s="315"/>
      <c r="D105" s="315"/>
      <c r="E105" s="324"/>
      <c r="F105" s="513"/>
      <c r="G105" s="513"/>
      <c r="H105" s="513"/>
      <c r="I105" s="513"/>
      <c r="J105" s="523"/>
      <c r="K105" s="513"/>
      <c r="L105" s="523"/>
      <c r="M105" s="513"/>
      <c r="N105" s="524"/>
      <c r="O105" s="319"/>
      <c r="P105" s="319"/>
      <c r="Q105" s="319"/>
    </row>
    <row r="106" spans="1:17" s="320" customFormat="1" ht="15">
      <c r="A106" s="267"/>
      <c r="B106" s="340"/>
      <c r="C106" s="315"/>
      <c r="D106" s="315"/>
      <c r="E106" s="324"/>
      <c r="F106" s="513"/>
      <c r="G106" s="513"/>
      <c r="H106" s="513"/>
      <c r="I106" s="513"/>
      <c r="J106" s="523"/>
      <c r="K106" s="513"/>
      <c r="L106" s="523"/>
      <c r="M106" s="513"/>
      <c r="N106" s="524"/>
      <c r="O106" s="319"/>
      <c r="P106" s="319"/>
      <c r="Q106" s="319"/>
    </row>
    <row r="107" spans="1:17" s="320" customFormat="1" ht="15">
      <c r="A107" s="267"/>
      <c r="B107" s="340"/>
      <c r="C107" s="315"/>
      <c r="D107" s="315"/>
      <c r="E107" s="324"/>
      <c r="F107" s="513"/>
      <c r="G107" s="513"/>
      <c r="H107" s="513"/>
      <c r="I107" s="513"/>
      <c r="J107" s="523"/>
      <c r="K107" s="513"/>
      <c r="L107" s="523"/>
      <c r="M107" s="513"/>
      <c r="N107" s="524"/>
      <c r="O107" s="319"/>
      <c r="P107" s="319"/>
      <c r="Q107" s="319"/>
    </row>
    <row r="108" spans="1:17" s="320" customFormat="1" ht="15">
      <c r="A108" s="267"/>
      <c r="B108" s="340"/>
      <c r="C108" s="315"/>
      <c r="D108" s="315"/>
      <c r="E108" s="324"/>
      <c r="F108" s="513"/>
      <c r="G108" s="513"/>
      <c r="H108" s="513"/>
      <c r="I108" s="513"/>
      <c r="J108" s="523"/>
      <c r="K108" s="513"/>
      <c r="L108" s="523"/>
      <c r="M108" s="513"/>
      <c r="N108" s="524"/>
      <c r="O108" s="319"/>
      <c r="P108" s="319"/>
      <c r="Q108" s="319"/>
    </row>
    <row r="109" spans="1:17" s="320" customFormat="1" ht="15">
      <c r="A109" s="267"/>
      <c r="B109" s="340"/>
      <c r="C109" s="315"/>
      <c r="D109" s="315"/>
      <c r="E109" s="324"/>
      <c r="F109" s="513"/>
      <c r="G109" s="513"/>
      <c r="H109" s="513"/>
      <c r="I109" s="513"/>
      <c r="J109" s="523"/>
      <c r="K109" s="513"/>
      <c r="L109" s="523"/>
      <c r="M109" s="513"/>
      <c r="N109" s="524"/>
      <c r="O109" s="319"/>
      <c r="P109" s="319"/>
      <c r="Q109" s="319"/>
    </row>
    <row r="110" spans="1:17" s="320" customFormat="1" ht="15">
      <c r="A110" s="267"/>
      <c r="B110" s="340"/>
      <c r="C110" s="315"/>
      <c r="D110" s="315"/>
      <c r="E110" s="324"/>
      <c r="F110" s="513"/>
      <c r="G110" s="513"/>
      <c r="H110" s="513"/>
      <c r="I110" s="513"/>
      <c r="J110" s="523"/>
      <c r="K110" s="513"/>
      <c r="L110" s="523"/>
      <c r="M110" s="513"/>
      <c r="N110" s="524"/>
      <c r="O110" s="319"/>
      <c r="P110" s="319"/>
      <c r="Q110" s="319"/>
    </row>
    <row r="111" spans="1:17" s="320" customFormat="1" ht="15">
      <c r="A111" s="267"/>
      <c r="B111" s="340"/>
      <c r="C111" s="315"/>
      <c r="D111" s="315"/>
      <c r="E111" s="324"/>
      <c r="F111" s="513"/>
      <c r="G111" s="513"/>
      <c r="H111" s="513"/>
      <c r="I111" s="513"/>
      <c r="J111" s="523"/>
      <c r="K111" s="513"/>
      <c r="L111" s="523"/>
      <c r="M111" s="513"/>
      <c r="N111" s="524"/>
      <c r="O111" s="319"/>
      <c r="P111" s="319"/>
      <c r="Q111" s="319"/>
    </row>
    <row r="112" spans="1:17" s="320" customFormat="1" ht="15">
      <c r="A112" s="267"/>
      <c r="B112" s="340"/>
      <c r="C112" s="315"/>
      <c r="D112" s="315"/>
      <c r="E112" s="324"/>
      <c r="F112" s="513"/>
      <c r="G112" s="513"/>
      <c r="H112" s="513"/>
      <c r="I112" s="513"/>
      <c r="J112" s="523"/>
      <c r="K112" s="513"/>
      <c r="L112" s="523"/>
      <c r="M112" s="513"/>
      <c r="N112" s="524"/>
      <c r="O112" s="319"/>
      <c r="P112" s="319"/>
      <c r="Q112" s="319"/>
    </row>
    <row r="113" spans="1:17" s="320" customFormat="1" ht="15">
      <c r="A113" s="267"/>
      <c r="B113" s="340"/>
      <c r="C113" s="315"/>
      <c r="D113" s="315"/>
      <c r="E113" s="324"/>
      <c r="F113" s="513"/>
      <c r="G113" s="513"/>
      <c r="H113" s="513"/>
      <c r="I113" s="513"/>
      <c r="J113" s="523"/>
      <c r="K113" s="513"/>
      <c r="L113" s="523"/>
      <c r="M113" s="513"/>
      <c r="N113" s="524"/>
      <c r="O113" s="319"/>
      <c r="P113" s="319"/>
      <c r="Q113" s="319"/>
    </row>
    <row r="114" spans="1:17" s="320" customFormat="1" ht="15">
      <c r="A114" s="267"/>
      <c r="B114" s="340"/>
      <c r="C114" s="315"/>
      <c r="D114" s="315"/>
      <c r="E114" s="324"/>
      <c r="F114" s="513"/>
      <c r="G114" s="513"/>
      <c r="H114" s="513"/>
      <c r="I114" s="513"/>
      <c r="J114" s="523"/>
      <c r="K114" s="513"/>
      <c r="L114" s="523"/>
      <c r="M114" s="513"/>
      <c r="N114" s="524"/>
      <c r="O114" s="319"/>
      <c r="P114" s="319"/>
      <c r="Q114" s="319"/>
    </row>
    <row r="115" spans="1:17" s="320" customFormat="1" ht="15">
      <c r="A115" s="267"/>
      <c r="B115" s="340"/>
      <c r="C115" s="315"/>
      <c r="D115" s="315"/>
      <c r="E115" s="324"/>
      <c r="F115" s="513"/>
      <c r="G115" s="513"/>
      <c r="H115" s="513"/>
      <c r="I115" s="513"/>
      <c r="J115" s="523"/>
      <c r="K115" s="513"/>
      <c r="L115" s="523"/>
      <c r="M115" s="513"/>
      <c r="N115" s="524"/>
      <c r="O115" s="319"/>
      <c r="P115" s="319"/>
      <c r="Q115" s="319"/>
    </row>
    <row r="116" spans="1:17" s="320" customFormat="1" ht="15">
      <c r="A116" s="267"/>
      <c r="B116" s="340"/>
      <c r="C116" s="315"/>
      <c r="D116" s="315"/>
      <c r="E116" s="324"/>
      <c r="F116" s="513"/>
      <c r="G116" s="513"/>
      <c r="H116" s="513"/>
      <c r="I116" s="513"/>
      <c r="J116" s="523"/>
      <c r="K116" s="513"/>
      <c r="L116" s="523"/>
      <c r="M116" s="513"/>
      <c r="N116" s="524"/>
      <c r="O116" s="319"/>
      <c r="P116" s="319"/>
      <c r="Q116" s="319"/>
    </row>
    <row r="117" spans="1:17" s="320" customFormat="1" ht="15">
      <c r="A117" s="267"/>
      <c r="B117" s="340"/>
      <c r="C117" s="315"/>
      <c r="D117" s="315"/>
      <c r="E117" s="324"/>
      <c r="F117" s="513"/>
      <c r="G117" s="513"/>
      <c r="H117" s="513"/>
      <c r="I117" s="513"/>
      <c r="J117" s="523"/>
      <c r="K117" s="513"/>
      <c r="L117" s="523"/>
      <c r="M117" s="513"/>
      <c r="N117" s="524"/>
      <c r="O117" s="319"/>
      <c r="P117" s="319"/>
      <c r="Q117" s="319"/>
    </row>
    <row r="118" spans="1:17" s="320" customFormat="1" ht="15">
      <c r="A118" s="267"/>
      <c r="B118" s="340"/>
      <c r="C118" s="315"/>
      <c r="D118" s="315"/>
      <c r="E118" s="324"/>
      <c r="F118" s="513"/>
      <c r="G118" s="513"/>
      <c r="H118" s="513"/>
      <c r="I118" s="513"/>
      <c r="J118" s="523"/>
      <c r="K118" s="513"/>
      <c r="L118" s="523"/>
      <c r="M118" s="513"/>
      <c r="N118" s="524"/>
      <c r="O118" s="319"/>
      <c r="P118" s="319"/>
      <c r="Q118" s="319"/>
    </row>
    <row r="119" spans="1:17" s="320" customFormat="1" ht="15">
      <c r="A119" s="267"/>
      <c r="B119" s="340"/>
      <c r="C119" s="315"/>
      <c r="D119" s="315"/>
      <c r="E119" s="324"/>
      <c r="F119" s="513"/>
      <c r="G119" s="513"/>
      <c r="H119" s="513"/>
      <c r="I119" s="513"/>
      <c r="J119" s="523"/>
      <c r="K119" s="513"/>
      <c r="L119" s="523"/>
      <c r="M119" s="513"/>
      <c r="N119" s="524"/>
      <c r="O119" s="319"/>
      <c r="P119" s="319"/>
      <c r="Q119" s="319"/>
    </row>
    <row r="120" spans="1:17" s="320" customFormat="1" ht="15">
      <c r="A120" s="267"/>
      <c r="B120" s="340"/>
      <c r="C120" s="315"/>
      <c r="D120" s="315"/>
      <c r="E120" s="324"/>
      <c r="F120" s="513"/>
      <c r="G120" s="513"/>
      <c r="H120" s="513"/>
      <c r="I120" s="513"/>
      <c r="J120" s="523"/>
      <c r="K120" s="513"/>
      <c r="L120" s="523"/>
      <c r="M120" s="513"/>
      <c r="N120" s="524"/>
      <c r="O120" s="319"/>
      <c r="P120" s="319"/>
      <c r="Q120" s="319"/>
    </row>
    <row r="121" spans="1:17" s="320" customFormat="1" ht="15">
      <c r="A121" s="267"/>
      <c r="B121" s="340"/>
      <c r="C121" s="315"/>
      <c r="D121" s="315"/>
      <c r="E121" s="324"/>
      <c r="F121" s="513"/>
      <c r="G121" s="513"/>
      <c r="H121" s="513"/>
      <c r="I121" s="513"/>
      <c r="J121" s="523"/>
      <c r="K121" s="513"/>
      <c r="L121" s="523"/>
      <c r="M121" s="513"/>
      <c r="N121" s="524"/>
      <c r="O121" s="319"/>
      <c r="P121" s="319"/>
      <c r="Q121" s="319"/>
    </row>
    <row r="122" spans="1:17" s="320" customFormat="1" ht="15">
      <c r="A122" s="267"/>
      <c r="B122" s="340"/>
      <c r="C122" s="315"/>
      <c r="D122" s="315"/>
      <c r="E122" s="324"/>
      <c r="F122" s="513"/>
      <c r="G122" s="513"/>
      <c r="H122" s="513"/>
      <c r="I122" s="513"/>
      <c r="J122" s="523"/>
      <c r="K122" s="513"/>
      <c r="L122" s="523"/>
      <c r="M122" s="513"/>
      <c r="N122" s="524"/>
      <c r="O122" s="319"/>
      <c r="P122" s="319"/>
      <c r="Q122" s="319"/>
    </row>
    <row r="123" spans="1:17" s="320" customFormat="1" ht="15">
      <c r="A123" s="267"/>
      <c r="B123" s="340"/>
      <c r="C123" s="315"/>
      <c r="D123" s="315"/>
      <c r="E123" s="324"/>
      <c r="F123" s="513"/>
      <c r="G123" s="513"/>
      <c r="H123" s="513"/>
      <c r="I123" s="513"/>
      <c r="J123" s="523"/>
      <c r="K123" s="513"/>
      <c r="L123" s="523"/>
      <c r="M123" s="513"/>
      <c r="N123" s="524"/>
      <c r="O123" s="319"/>
      <c r="P123" s="319"/>
      <c r="Q123" s="319"/>
    </row>
    <row r="124" spans="1:17" s="320" customFormat="1" ht="15">
      <c r="A124" s="267"/>
      <c r="B124" s="340"/>
      <c r="C124" s="315"/>
      <c r="D124" s="315"/>
      <c r="E124" s="324"/>
      <c r="F124" s="513"/>
      <c r="G124" s="513"/>
      <c r="H124" s="513"/>
      <c r="I124" s="513"/>
      <c r="J124" s="523"/>
      <c r="K124" s="513"/>
      <c r="L124" s="523"/>
      <c r="M124" s="513"/>
      <c r="N124" s="524"/>
      <c r="O124" s="319"/>
      <c r="P124" s="319"/>
      <c r="Q124" s="319"/>
    </row>
    <row r="125" spans="1:17" s="320" customFormat="1" ht="15">
      <c r="A125" s="267"/>
      <c r="B125" s="340"/>
      <c r="C125" s="315"/>
      <c r="D125" s="315"/>
      <c r="E125" s="324"/>
      <c r="F125" s="513"/>
      <c r="G125" s="513"/>
      <c r="H125" s="513"/>
      <c r="I125" s="513"/>
      <c r="J125" s="523"/>
      <c r="K125" s="513"/>
      <c r="L125" s="523"/>
      <c r="M125" s="513"/>
      <c r="N125" s="524"/>
      <c r="O125" s="319"/>
      <c r="P125" s="319"/>
      <c r="Q125" s="319"/>
    </row>
    <row r="126" spans="1:17" s="320" customFormat="1" ht="15">
      <c r="A126" s="267"/>
      <c r="B126" s="340"/>
      <c r="C126" s="315"/>
      <c r="D126" s="315"/>
      <c r="E126" s="324"/>
      <c r="F126" s="513"/>
      <c r="G126" s="513"/>
      <c r="H126" s="513"/>
      <c r="I126" s="513"/>
      <c r="J126" s="523"/>
      <c r="K126" s="513"/>
      <c r="L126" s="523"/>
      <c r="M126" s="513"/>
      <c r="N126" s="524"/>
      <c r="O126" s="319"/>
      <c r="P126" s="319"/>
      <c r="Q126" s="319"/>
    </row>
    <row r="127" spans="1:17" s="320" customFormat="1" ht="15">
      <c r="A127" s="267"/>
      <c r="B127" s="340"/>
      <c r="C127" s="315"/>
      <c r="D127" s="315"/>
      <c r="E127" s="324"/>
      <c r="F127" s="513"/>
      <c r="G127" s="513"/>
      <c r="H127" s="513"/>
      <c r="I127" s="513"/>
      <c r="J127" s="523"/>
      <c r="K127" s="513"/>
      <c r="L127" s="523"/>
      <c r="M127" s="513"/>
      <c r="N127" s="524"/>
      <c r="O127" s="319"/>
      <c r="P127" s="319"/>
      <c r="Q127" s="319"/>
    </row>
    <row r="128" spans="1:17" s="320" customFormat="1" ht="15">
      <c r="A128" s="267"/>
      <c r="B128" s="340"/>
      <c r="C128" s="315"/>
      <c r="D128" s="315"/>
      <c r="E128" s="324"/>
      <c r="F128" s="513"/>
      <c r="G128" s="513"/>
      <c r="H128" s="513"/>
      <c r="I128" s="513"/>
      <c r="J128" s="523"/>
      <c r="K128" s="513"/>
      <c r="L128" s="523"/>
      <c r="M128" s="513"/>
      <c r="N128" s="524"/>
      <c r="O128" s="319"/>
      <c r="P128" s="319"/>
      <c r="Q128" s="319"/>
    </row>
    <row r="129" spans="1:17" s="320" customFormat="1" ht="15">
      <c r="A129" s="267"/>
      <c r="B129" s="340"/>
      <c r="C129" s="315"/>
      <c r="D129" s="315"/>
      <c r="E129" s="324"/>
      <c r="F129" s="513"/>
      <c r="G129" s="513"/>
      <c r="H129" s="513"/>
      <c r="I129" s="513"/>
      <c r="J129" s="523"/>
      <c r="K129" s="513"/>
      <c r="L129" s="523"/>
      <c r="M129" s="513"/>
      <c r="N129" s="524"/>
      <c r="O129" s="319"/>
      <c r="P129" s="319"/>
      <c r="Q129" s="319"/>
    </row>
    <row r="130" spans="1:17" s="320" customFormat="1" ht="15">
      <c r="A130" s="267"/>
      <c r="B130" s="340"/>
      <c r="C130" s="315"/>
      <c r="D130" s="315"/>
      <c r="E130" s="324"/>
      <c r="F130" s="513"/>
      <c r="G130" s="513"/>
      <c r="H130" s="513"/>
      <c r="I130" s="513"/>
      <c r="J130" s="523"/>
      <c r="K130" s="513"/>
      <c r="L130" s="523"/>
      <c r="M130" s="513"/>
      <c r="N130" s="524"/>
      <c r="O130" s="319"/>
      <c r="P130" s="319"/>
      <c r="Q130" s="319"/>
    </row>
    <row r="131" spans="1:17" s="320" customFormat="1" ht="15">
      <c r="A131" s="267"/>
      <c r="B131" s="340"/>
      <c r="C131" s="315"/>
      <c r="D131" s="315"/>
      <c r="E131" s="324"/>
      <c r="F131" s="513"/>
      <c r="G131" s="513"/>
      <c r="H131" s="513"/>
      <c r="I131" s="513"/>
      <c r="J131" s="523"/>
      <c r="K131" s="513"/>
      <c r="L131" s="523"/>
      <c r="M131" s="513"/>
      <c r="N131" s="524"/>
      <c r="O131" s="319"/>
      <c r="P131" s="319"/>
      <c r="Q131" s="319"/>
    </row>
    <row r="132" spans="1:17" s="320" customFormat="1" ht="15">
      <c r="A132" s="267"/>
      <c r="B132" s="340"/>
      <c r="C132" s="315"/>
      <c r="D132" s="315"/>
      <c r="E132" s="324"/>
      <c r="F132" s="513"/>
      <c r="G132" s="513"/>
      <c r="H132" s="513"/>
      <c r="I132" s="513"/>
      <c r="J132" s="523"/>
      <c r="K132" s="513"/>
      <c r="L132" s="523"/>
      <c r="M132" s="513"/>
      <c r="N132" s="524"/>
      <c r="O132" s="319"/>
      <c r="P132" s="319"/>
      <c r="Q132" s="319"/>
    </row>
    <row r="133" spans="1:17" s="320" customFormat="1" ht="15">
      <c r="A133" s="267"/>
      <c r="B133" s="340"/>
      <c r="C133" s="315"/>
      <c r="D133" s="315"/>
      <c r="E133" s="324"/>
      <c r="F133" s="513"/>
      <c r="G133" s="513"/>
      <c r="H133" s="513"/>
      <c r="I133" s="513"/>
      <c r="J133" s="523"/>
      <c r="K133" s="513"/>
      <c r="L133" s="523"/>
      <c r="M133" s="513"/>
      <c r="N133" s="524"/>
      <c r="O133" s="319"/>
      <c r="P133" s="319"/>
      <c r="Q133" s="319"/>
    </row>
    <row r="134" spans="1:17" s="320" customFormat="1" ht="15">
      <c r="A134" s="267"/>
      <c r="B134" s="340"/>
      <c r="C134" s="315"/>
      <c r="D134" s="315"/>
      <c r="E134" s="324"/>
      <c r="F134" s="513"/>
      <c r="G134" s="513"/>
      <c r="H134" s="513"/>
      <c r="I134" s="513"/>
      <c r="J134" s="523"/>
      <c r="K134" s="513"/>
      <c r="L134" s="523"/>
      <c r="M134" s="513"/>
      <c r="N134" s="524"/>
      <c r="O134" s="319"/>
      <c r="P134" s="319"/>
      <c r="Q134" s="319"/>
    </row>
    <row r="135" spans="1:17" s="320" customFormat="1" ht="15">
      <c r="A135" s="267"/>
      <c r="B135" s="340"/>
      <c r="C135" s="315"/>
      <c r="D135" s="315"/>
      <c r="E135" s="324"/>
      <c r="F135" s="513"/>
      <c r="G135" s="513"/>
      <c r="H135" s="513"/>
      <c r="I135" s="513"/>
      <c r="J135" s="523"/>
      <c r="K135" s="513"/>
      <c r="L135" s="523"/>
      <c r="M135" s="513"/>
      <c r="N135" s="524"/>
      <c r="O135" s="319"/>
      <c r="P135" s="319"/>
      <c r="Q135" s="319"/>
    </row>
    <row r="136" spans="1:17" s="320" customFormat="1" ht="15">
      <c r="A136" s="267"/>
      <c r="B136" s="340"/>
      <c r="C136" s="315"/>
      <c r="D136" s="315"/>
      <c r="E136" s="324"/>
      <c r="F136" s="513"/>
      <c r="G136" s="513"/>
      <c r="H136" s="513"/>
      <c r="I136" s="513"/>
      <c r="J136" s="523"/>
      <c r="K136" s="513"/>
      <c r="L136" s="523"/>
      <c r="M136" s="513"/>
      <c r="N136" s="524"/>
      <c r="O136" s="319"/>
      <c r="P136" s="319"/>
      <c r="Q136" s="319"/>
    </row>
    <row r="137" spans="1:17" s="320" customFormat="1" ht="15">
      <c r="A137" s="267"/>
      <c r="B137" s="340"/>
      <c r="C137" s="315"/>
      <c r="D137" s="315"/>
      <c r="E137" s="324"/>
      <c r="F137" s="513"/>
      <c r="G137" s="513"/>
      <c r="H137" s="513"/>
      <c r="I137" s="513"/>
      <c r="J137" s="523"/>
      <c r="K137" s="513"/>
      <c r="L137" s="523"/>
      <c r="M137" s="513"/>
      <c r="N137" s="524"/>
      <c r="O137" s="319"/>
      <c r="P137" s="319"/>
      <c r="Q137" s="319"/>
    </row>
    <row r="138" spans="1:17" s="320" customFormat="1" ht="15">
      <c r="A138" s="267"/>
      <c r="B138" s="340"/>
      <c r="C138" s="315"/>
      <c r="D138" s="315"/>
      <c r="E138" s="324"/>
      <c r="F138" s="513"/>
      <c r="G138" s="513"/>
      <c r="H138" s="513"/>
      <c r="I138" s="513"/>
      <c r="J138" s="523"/>
      <c r="K138" s="513"/>
      <c r="L138" s="523"/>
      <c r="M138" s="513"/>
      <c r="N138" s="524"/>
      <c r="O138" s="319"/>
      <c r="P138" s="319"/>
      <c r="Q138" s="319"/>
    </row>
    <row r="139" spans="1:17" s="320" customFormat="1" ht="15">
      <c r="A139" s="267"/>
      <c r="B139" s="340"/>
      <c r="C139" s="315"/>
      <c r="D139" s="315"/>
      <c r="E139" s="324"/>
      <c r="F139" s="513"/>
      <c r="G139" s="513"/>
      <c r="H139" s="513"/>
      <c r="I139" s="513"/>
      <c r="J139" s="523"/>
      <c r="K139" s="513"/>
      <c r="L139" s="523"/>
      <c r="M139" s="513"/>
      <c r="N139" s="524"/>
      <c r="O139" s="319"/>
      <c r="P139" s="319"/>
      <c r="Q139" s="319"/>
    </row>
    <row r="140" spans="1:17" s="320" customFormat="1" ht="15">
      <c r="A140" s="267"/>
      <c r="B140" s="340"/>
      <c r="C140" s="315"/>
      <c r="D140" s="315"/>
      <c r="E140" s="324"/>
      <c r="F140" s="513"/>
      <c r="G140" s="513"/>
      <c r="H140" s="513"/>
      <c r="I140" s="513"/>
      <c r="J140" s="523"/>
      <c r="K140" s="513"/>
      <c r="L140" s="523"/>
      <c r="M140" s="513"/>
      <c r="N140" s="524"/>
      <c r="O140" s="319"/>
      <c r="P140" s="319"/>
      <c r="Q140" s="319"/>
    </row>
    <row r="141" spans="1:17" s="320" customFormat="1" ht="15">
      <c r="A141" s="267"/>
      <c r="B141" s="340"/>
      <c r="C141" s="315"/>
      <c r="D141" s="315"/>
      <c r="E141" s="324"/>
      <c r="F141" s="513"/>
      <c r="G141" s="513"/>
      <c r="H141" s="513"/>
      <c r="I141" s="513"/>
      <c r="J141" s="523"/>
      <c r="K141" s="513"/>
      <c r="L141" s="523"/>
      <c r="M141" s="513"/>
      <c r="N141" s="524"/>
      <c r="O141" s="319"/>
      <c r="P141" s="319"/>
      <c r="Q141" s="319"/>
    </row>
    <row r="142" spans="1:17" s="320" customFormat="1" ht="15">
      <c r="A142" s="267"/>
      <c r="B142" s="340"/>
      <c r="C142" s="315"/>
      <c r="D142" s="315"/>
      <c r="E142" s="324"/>
      <c r="F142" s="513"/>
      <c r="G142" s="513"/>
      <c r="H142" s="513"/>
      <c r="I142" s="513"/>
      <c r="J142" s="523"/>
      <c r="K142" s="513"/>
      <c r="L142" s="523"/>
      <c r="M142" s="513"/>
      <c r="N142" s="524"/>
      <c r="O142" s="319"/>
      <c r="P142" s="319"/>
      <c r="Q142" s="319"/>
    </row>
    <row r="143" spans="1:17" s="320" customFormat="1" ht="15">
      <c r="A143" s="267"/>
      <c r="B143" s="340"/>
      <c r="C143" s="315"/>
      <c r="D143" s="315"/>
      <c r="E143" s="324"/>
      <c r="F143" s="513"/>
      <c r="G143" s="513"/>
      <c r="H143" s="513"/>
      <c r="I143" s="513"/>
      <c r="J143" s="523"/>
      <c r="K143" s="513"/>
      <c r="L143" s="523"/>
      <c r="M143" s="513"/>
      <c r="N143" s="524"/>
      <c r="O143" s="319"/>
      <c r="P143" s="319"/>
      <c r="Q143" s="319"/>
    </row>
    <row r="144" spans="1:17" s="320" customFormat="1" ht="15">
      <c r="A144" s="267"/>
      <c r="B144" s="340"/>
      <c r="C144" s="315"/>
      <c r="D144" s="315"/>
      <c r="E144" s="324"/>
      <c r="F144" s="513"/>
      <c r="G144" s="513"/>
      <c r="H144" s="513"/>
      <c r="I144" s="513"/>
      <c r="J144" s="523"/>
      <c r="K144" s="513"/>
      <c r="L144" s="523"/>
      <c r="M144" s="513"/>
      <c r="N144" s="524"/>
      <c r="O144" s="319"/>
      <c r="P144" s="319"/>
      <c r="Q144" s="319"/>
    </row>
    <row r="145" spans="1:17" s="320" customFormat="1" ht="15">
      <c r="A145" s="267"/>
      <c r="B145" s="340"/>
      <c r="C145" s="315"/>
      <c r="D145" s="315"/>
      <c r="E145" s="324"/>
      <c r="F145" s="513"/>
      <c r="G145" s="513"/>
      <c r="H145" s="513"/>
      <c r="I145" s="513"/>
      <c r="J145" s="523"/>
      <c r="K145" s="513"/>
      <c r="L145" s="523"/>
      <c r="M145" s="513"/>
      <c r="N145" s="524"/>
      <c r="O145" s="319"/>
      <c r="P145" s="319"/>
      <c r="Q145" s="319"/>
    </row>
    <row r="146" spans="1:17" s="320" customFormat="1" ht="15">
      <c r="A146" s="267"/>
      <c r="B146" s="340"/>
      <c r="C146" s="315"/>
      <c r="D146" s="315"/>
      <c r="E146" s="324"/>
      <c r="F146" s="513"/>
      <c r="G146" s="513"/>
      <c r="H146" s="513"/>
      <c r="I146" s="513"/>
      <c r="J146" s="523"/>
      <c r="K146" s="513"/>
      <c r="L146" s="523"/>
      <c r="M146" s="513"/>
      <c r="N146" s="524"/>
      <c r="O146" s="319"/>
      <c r="P146" s="319"/>
      <c r="Q146" s="319"/>
    </row>
    <row r="147" spans="1:17" s="320" customFormat="1" ht="15">
      <c r="A147" s="267"/>
      <c r="B147" s="340"/>
      <c r="C147" s="315"/>
      <c r="D147" s="315"/>
      <c r="E147" s="324"/>
      <c r="F147" s="513"/>
      <c r="G147" s="513"/>
      <c r="H147" s="513"/>
      <c r="I147" s="513"/>
      <c r="J147" s="523"/>
      <c r="K147" s="513"/>
      <c r="L147" s="523"/>
      <c r="M147" s="513"/>
      <c r="N147" s="524"/>
      <c r="O147" s="319"/>
      <c r="P147" s="319"/>
      <c r="Q147" s="319"/>
    </row>
    <row r="148" spans="1:17" s="320" customFormat="1" ht="15">
      <c r="A148" s="267"/>
      <c r="B148" s="340"/>
      <c r="C148" s="315"/>
      <c r="D148" s="315"/>
      <c r="E148" s="324"/>
      <c r="F148" s="513"/>
      <c r="G148" s="513"/>
      <c r="H148" s="513"/>
      <c r="I148" s="513"/>
      <c r="J148" s="523"/>
      <c r="K148" s="513"/>
      <c r="L148" s="523"/>
      <c r="M148" s="513"/>
      <c r="N148" s="524"/>
      <c r="O148" s="319"/>
      <c r="P148" s="319"/>
      <c r="Q148" s="319"/>
    </row>
    <row r="149" spans="1:17" s="320" customFormat="1" ht="15">
      <c r="A149" s="267"/>
      <c r="B149" s="340"/>
      <c r="C149" s="315"/>
      <c r="D149" s="315"/>
      <c r="E149" s="324"/>
      <c r="F149" s="513"/>
      <c r="G149" s="513"/>
      <c r="H149" s="513"/>
      <c r="I149" s="513"/>
      <c r="J149" s="523"/>
      <c r="K149" s="513"/>
      <c r="L149" s="523"/>
      <c r="M149" s="513"/>
      <c r="N149" s="524"/>
      <c r="O149" s="319"/>
      <c r="P149" s="319"/>
      <c r="Q149" s="319"/>
    </row>
    <row r="150" spans="1:17" s="320" customFormat="1" ht="15">
      <c r="A150" s="267"/>
      <c r="B150" s="340"/>
      <c r="C150" s="315"/>
      <c r="D150" s="315"/>
      <c r="E150" s="324"/>
      <c r="F150" s="513"/>
      <c r="G150" s="513"/>
      <c r="H150" s="513"/>
      <c r="I150" s="513"/>
      <c r="J150" s="523"/>
      <c r="K150" s="513"/>
      <c r="L150" s="523"/>
      <c r="M150" s="513"/>
      <c r="N150" s="524"/>
      <c r="O150" s="319"/>
      <c r="P150" s="319"/>
      <c r="Q150" s="319"/>
    </row>
    <row r="151" spans="1:17" s="320" customFormat="1" ht="15">
      <c r="A151" s="267"/>
      <c r="B151" s="340"/>
      <c r="C151" s="315"/>
      <c r="D151" s="315"/>
      <c r="E151" s="324"/>
      <c r="F151" s="513"/>
      <c r="G151" s="513"/>
      <c r="H151" s="513"/>
      <c r="I151" s="513"/>
      <c r="J151" s="523"/>
      <c r="K151" s="513"/>
      <c r="L151" s="523"/>
      <c r="M151" s="513"/>
      <c r="N151" s="524"/>
      <c r="O151" s="319"/>
      <c r="P151" s="319"/>
      <c r="Q151" s="319"/>
    </row>
    <row r="152" spans="1:17" s="320" customFormat="1" ht="15">
      <c r="A152" s="267"/>
      <c r="B152" s="340"/>
      <c r="C152" s="315"/>
      <c r="D152" s="315"/>
      <c r="E152" s="324"/>
      <c r="F152" s="513"/>
      <c r="G152" s="513"/>
      <c r="H152" s="513"/>
      <c r="I152" s="513"/>
      <c r="J152" s="523"/>
      <c r="K152" s="513"/>
      <c r="L152" s="523"/>
      <c r="M152" s="513"/>
      <c r="N152" s="524"/>
      <c r="O152" s="319"/>
      <c r="P152" s="319"/>
      <c r="Q152" s="319"/>
    </row>
    <row r="153" spans="1:17" s="320" customFormat="1" ht="15">
      <c r="A153" s="267"/>
      <c r="B153" s="340"/>
      <c r="C153" s="315"/>
      <c r="D153" s="315"/>
      <c r="E153" s="324"/>
      <c r="F153" s="513"/>
      <c r="G153" s="513"/>
      <c r="H153" s="513"/>
      <c r="I153" s="513"/>
      <c r="J153" s="523"/>
      <c r="K153" s="513"/>
      <c r="L153" s="523"/>
      <c r="M153" s="513"/>
      <c r="N153" s="524"/>
      <c r="O153" s="319"/>
      <c r="P153" s="319"/>
      <c r="Q153" s="319"/>
    </row>
    <row r="154" spans="1:17" s="320" customFormat="1" ht="15">
      <c r="A154" s="267"/>
      <c r="B154" s="340"/>
      <c r="C154" s="315"/>
      <c r="D154" s="315"/>
      <c r="E154" s="324"/>
      <c r="F154" s="513"/>
      <c r="G154" s="513"/>
      <c r="H154" s="513"/>
      <c r="I154" s="513"/>
      <c r="J154" s="523"/>
      <c r="K154" s="513"/>
      <c r="L154" s="523"/>
      <c r="M154" s="513"/>
      <c r="N154" s="524"/>
      <c r="O154" s="319"/>
      <c r="P154" s="319"/>
      <c r="Q154" s="319"/>
    </row>
    <row r="155" spans="1:17" s="320" customFormat="1" ht="15">
      <c r="A155" s="267"/>
      <c r="B155" s="340"/>
      <c r="C155" s="315"/>
      <c r="D155" s="315"/>
      <c r="E155" s="324"/>
      <c r="F155" s="513"/>
      <c r="G155" s="513"/>
      <c r="H155" s="513"/>
      <c r="I155" s="513"/>
      <c r="J155" s="523"/>
      <c r="K155" s="513"/>
      <c r="L155" s="523"/>
      <c r="M155" s="513"/>
      <c r="N155" s="524"/>
      <c r="O155" s="319"/>
      <c r="P155" s="319"/>
      <c r="Q155" s="319"/>
    </row>
    <row r="156" spans="1:17" s="320" customFormat="1" ht="15">
      <c r="A156" s="267"/>
      <c r="B156" s="340"/>
      <c r="C156" s="315"/>
      <c r="D156" s="315"/>
      <c r="E156" s="324"/>
      <c r="F156" s="513"/>
      <c r="G156" s="513"/>
      <c r="H156" s="513"/>
      <c r="I156" s="513"/>
      <c r="J156" s="523"/>
      <c r="K156" s="513"/>
      <c r="L156" s="523"/>
      <c r="M156" s="513"/>
      <c r="N156" s="524"/>
      <c r="O156" s="319"/>
      <c r="P156" s="319"/>
      <c r="Q156" s="319"/>
    </row>
    <row r="157" spans="1:17" s="320" customFormat="1" ht="15">
      <c r="A157" s="267"/>
      <c r="B157" s="340"/>
      <c r="C157" s="315"/>
      <c r="D157" s="315"/>
      <c r="E157" s="324"/>
      <c r="F157" s="513"/>
      <c r="G157" s="513"/>
      <c r="H157" s="513"/>
      <c r="I157" s="513"/>
      <c r="J157" s="523"/>
      <c r="K157" s="513"/>
      <c r="L157" s="523"/>
      <c r="M157" s="513"/>
      <c r="N157" s="524"/>
      <c r="O157" s="319"/>
      <c r="P157" s="319"/>
      <c r="Q157" s="319"/>
    </row>
    <row r="158" spans="1:17" s="320" customFormat="1" ht="15">
      <c r="A158" s="267"/>
      <c r="B158" s="340"/>
      <c r="C158" s="315"/>
      <c r="D158" s="315"/>
      <c r="E158" s="324"/>
      <c r="F158" s="513"/>
      <c r="G158" s="513"/>
      <c r="H158" s="513"/>
      <c r="I158" s="513"/>
      <c r="J158" s="523"/>
      <c r="K158" s="513"/>
      <c r="L158" s="523"/>
      <c r="M158" s="513"/>
      <c r="N158" s="524"/>
      <c r="O158" s="319"/>
      <c r="P158" s="319"/>
      <c r="Q158" s="319"/>
    </row>
    <row r="159" spans="1:17" s="320" customFormat="1" ht="15">
      <c r="A159" s="267"/>
      <c r="B159" s="340"/>
      <c r="C159" s="315"/>
      <c r="D159" s="315"/>
      <c r="E159" s="324"/>
      <c r="F159" s="513"/>
      <c r="G159" s="513"/>
      <c r="H159" s="513"/>
      <c r="I159" s="513"/>
      <c r="J159" s="523"/>
      <c r="K159" s="513"/>
      <c r="L159" s="523"/>
      <c r="M159" s="513"/>
      <c r="N159" s="524"/>
      <c r="O159" s="319"/>
      <c r="P159" s="319"/>
      <c r="Q159" s="319"/>
    </row>
    <row r="160" spans="1:17" s="320" customFormat="1" ht="15">
      <c r="A160" s="267"/>
      <c r="B160" s="340"/>
      <c r="C160" s="315"/>
      <c r="D160" s="315"/>
      <c r="E160" s="324"/>
      <c r="F160" s="513"/>
      <c r="G160" s="513"/>
      <c r="H160" s="513"/>
      <c r="I160" s="513"/>
      <c r="J160" s="523"/>
      <c r="K160" s="513"/>
      <c r="L160" s="523"/>
      <c r="M160" s="513"/>
      <c r="N160" s="524"/>
      <c r="O160" s="319"/>
      <c r="P160" s="319"/>
      <c r="Q160" s="319"/>
    </row>
    <row r="161" spans="1:17" s="320" customFormat="1" ht="15">
      <c r="A161" s="267"/>
      <c r="B161" s="340"/>
      <c r="C161" s="315"/>
      <c r="D161" s="315"/>
      <c r="E161" s="324"/>
      <c r="F161" s="513"/>
      <c r="G161" s="513"/>
      <c r="H161" s="513"/>
      <c r="I161" s="513"/>
      <c r="J161" s="523"/>
      <c r="K161" s="513"/>
      <c r="L161" s="523"/>
      <c r="M161" s="513"/>
      <c r="N161" s="524"/>
      <c r="O161" s="319"/>
      <c r="P161" s="319"/>
      <c r="Q161" s="319"/>
    </row>
    <row r="162" spans="1:17" s="320" customFormat="1" ht="15">
      <c r="A162" s="267"/>
      <c r="B162" s="340"/>
      <c r="C162" s="315"/>
      <c r="D162" s="315"/>
      <c r="E162" s="324"/>
      <c r="F162" s="513"/>
      <c r="G162" s="513"/>
      <c r="H162" s="513"/>
      <c r="I162" s="513"/>
      <c r="J162" s="523"/>
      <c r="K162" s="513"/>
      <c r="L162" s="523"/>
      <c r="M162" s="513"/>
      <c r="N162" s="524"/>
      <c r="O162" s="319"/>
      <c r="P162" s="319"/>
      <c r="Q162" s="319"/>
    </row>
    <row r="163" spans="1:17" s="320" customFormat="1" ht="15">
      <c r="A163" s="267"/>
      <c r="B163" s="340"/>
      <c r="C163" s="315"/>
      <c r="D163" s="315"/>
      <c r="E163" s="324"/>
      <c r="F163" s="513"/>
      <c r="G163" s="513"/>
      <c r="H163" s="513"/>
      <c r="I163" s="513"/>
      <c r="J163" s="523"/>
      <c r="K163" s="513"/>
      <c r="L163" s="523"/>
      <c r="M163" s="513"/>
      <c r="N163" s="524"/>
      <c r="O163" s="319"/>
      <c r="P163" s="319"/>
      <c r="Q163" s="319"/>
    </row>
    <row r="164" spans="1:17" s="320" customFormat="1" ht="15">
      <c r="A164" s="267"/>
      <c r="B164" s="340"/>
      <c r="C164" s="315"/>
      <c r="D164" s="315"/>
      <c r="E164" s="324"/>
      <c r="F164" s="513"/>
      <c r="G164" s="513"/>
      <c r="H164" s="513"/>
      <c r="I164" s="513"/>
      <c r="J164" s="523"/>
      <c r="K164" s="513"/>
      <c r="L164" s="523"/>
      <c r="M164" s="513"/>
      <c r="N164" s="524"/>
      <c r="O164" s="319"/>
      <c r="P164" s="319"/>
      <c r="Q164" s="319"/>
    </row>
    <row r="165" spans="1:17" s="320" customFormat="1" ht="15">
      <c r="A165" s="267"/>
      <c r="B165" s="340"/>
      <c r="C165" s="315"/>
      <c r="D165" s="315"/>
      <c r="E165" s="324"/>
      <c r="F165" s="513"/>
      <c r="G165" s="513"/>
      <c r="H165" s="513"/>
      <c r="I165" s="513"/>
      <c r="J165" s="523"/>
      <c r="K165" s="513"/>
      <c r="L165" s="523"/>
      <c r="M165" s="513"/>
      <c r="N165" s="524"/>
      <c r="O165" s="319"/>
      <c r="P165" s="319"/>
      <c r="Q165" s="319"/>
    </row>
    <row r="166" spans="1:17" s="320" customFormat="1" ht="15">
      <c r="A166" s="267"/>
      <c r="B166" s="340"/>
      <c r="C166" s="315"/>
      <c r="D166" s="315"/>
      <c r="E166" s="324"/>
      <c r="F166" s="513"/>
      <c r="G166" s="513"/>
      <c r="H166" s="513"/>
      <c r="I166" s="513"/>
      <c r="J166" s="523"/>
      <c r="K166" s="513"/>
      <c r="L166" s="523"/>
      <c r="M166" s="513"/>
      <c r="N166" s="524"/>
      <c r="O166" s="319"/>
      <c r="P166" s="319"/>
      <c r="Q166" s="319"/>
    </row>
    <row r="167" spans="1:17" s="320" customFormat="1" ht="15">
      <c r="A167" s="267"/>
      <c r="B167" s="340"/>
      <c r="C167" s="315"/>
      <c r="D167" s="315"/>
      <c r="E167" s="324"/>
      <c r="F167" s="513"/>
      <c r="G167" s="513"/>
      <c r="H167" s="513"/>
      <c r="I167" s="513"/>
      <c r="J167" s="523"/>
      <c r="K167" s="513"/>
      <c r="L167" s="523"/>
      <c r="M167" s="513"/>
      <c r="N167" s="524"/>
      <c r="O167" s="319"/>
      <c r="P167" s="319"/>
      <c r="Q167" s="319"/>
    </row>
    <row r="168" spans="1:17" s="320" customFormat="1" ht="15">
      <c r="A168" s="267"/>
      <c r="B168" s="340"/>
      <c r="C168" s="315"/>
      <c r="D168" s="315"/>
      <c r="E168" s="324"/>
      <c r="F168" s="513"/>
      <c r="G168" s="513"/>
      <c r="H168" s="513"/>
      <c r="I168" s="513"/>
      <c r="J168" s="523"/>
      <c r="K168" s="513"/>
      <c r="L168" s="523"/>
      <c r="M168" s="513"/>
      <c r="N168" s="524"/>
      <c r="O168" s="319"/>
      <c r="P168" s="319"/>
      <c r="Q168" s="319"/>
    </row>
    <row r="169" spans="1:17" s="320" customFormat="1" ht="15">
      <c r="A169" s="267"/>
      <c r="B169" s="340"/>
      <c r="C169" s="315"/>
      <c r="D169" s="315"/>
      <c r="E169" s="324"/>
      <c r="F169" s="513"/>
      <c r="G169" s="513"/>
      <c r="H169" s="513"/>
      <c r="I169" s="513"/>
      <c r="J169" s="523"/>
      <c r="K169" s="513"/>
      <c r="L169" s="523"/>
      <c r="M169" s="513"/>
      <c r="N169" s="524"/>
      <c r="O169" s="319"/>
      <c r="P169" s="319"/>
      <c r="Q169" s="319"/>
    </row>
    <row r="170" spans="1:17" s="320" customFormat="1" ht="15">
      <c r="A170" s="267"/>
      <c r="B170" s="340"/>
      <c r="C170" s="315"/>
      <c r="D170" s="315"/>
      <c r="E170" s="324"/>
      <c r="F170" s="513"/>
      <c r="G170" s="513"/>
      <c r="H170" s="513"/>
      <c r="I170" s="513"/>
      <c r="J170" s="523"/>
      <c r="K170" s="513"/>
      <c r="L170" s="523"/>
      <c r="M170" s="513"/>
      <c r="N170" s="524"/>
      <c r="O170" s="319"/>
      <c r="P170" s="319"/>
      <c r="Q170" s="319"/>
    </row>
    <row r="171" spans="1:17" s="320" customFormat="1" ht="15">
      <c r="A171" s="267"/>
      <c r="B171" s="340"/>
      <c r="C171" s="315"/>
      <c r="D171" s="315"/>
      <c r="E171" s="324"/>
      <c r="F171" s="513"/>
      <c r="G171" s="513"/>
      <c r="H171" s="513"/>
      <c r="I171" s="513"/>
      <c r="J171" s="523"/>
      <c r="K171" s="513"/>
      <c r="L171" s="523"/>
      <c r="M171" s="513"/>
      <c r="N171" s="524"/>
      <c r="O171" s="319"/>
      <c r="P171" s="319"/>
      <c r="Q171" s="319"/>
    </row>
    <row r="172" spans="1:17" s="320" customFormat="1" ht="15">
      <c r="A172" s="267"/>
      <c r="B172" s="340"/>
      <c r="C172" s="315"/>
      <c r="D172" s="315"/>
      <c r="E172" s="324"/>
      <c r="F172" s="513"/>
      <c r="G172" s="513"/>
      <c r="H172" s="513"/>
      <c r="I172" s="513"/>
      <c r="J172" s="523"/>
      <c r="K172" s="513"/>
      <c r="L172" s="523"/>
      <c r="M172" s="513"/>
      <c r="N172" s="524"/>
      <c r="O172" s="319"/>
      <c r="P172" s="319"/>
      <c r="Q172" s="319"/>
    </row>
    <row r="173" spans="1:17" s="320" customFormat="1" ht="15">
      <c r="A173" s="267"/>
      <c r="B173" s="340"/>
      <c r="C173" s="315"/>
      <c r="D173" s="315"/>
      <c r="E173" s="324"/>
      <c r="F173" s="513"/>
      <c r="G173" s="513"/>
      <c r="H173" s="513"/>
      <c r="I173" s="513"/>
      <c r="J173" s="523"/>
      <c r="K173" s="513"/>
      <c r="L173" s="523"/>
      <c r="M173" s="513"/>
      <c r="N173" s="524"/>
      <c r="O173" s="319"/>
      <c r="P173" s="319"/>
      <c r="Q173" s="319"/>
    </row>
    <row r="174" spans="1:17" s="320" customFormat="1" ht="15">
      <c r="A174" s="267"/>
      <c r="B174" s="340"/>
      <c r="C174" s="315"/>
      <c r="D174" s="315"/>
      <c r="E174" s="324"/>
      <c r="F174" s="513"/>
      <c r="G174" s="513"/>
      <c r="H174" s="513"/>
      <c r="I174" s="513"/>
      <c r="J174" s="523"/>
      <c r="K174" s="513"/>
      <c r="L174" s="523"/>
      <c r="M174" s="513"/>
      <c r="N174" s="524"/>
      <c r="O174" s="319"/>
      <c r="P174" s="319"/>
      <c r="Q174" s="319"/>
    </row>
    <row r="175" spans="1:17" s="320" customFormat="1" ht="15">
      <c r="A175" s="267"/>
      <c r="B175" s="340"/>
      <c r="C175" s="315"/>
      <c r="D175" s="315"/>
      <c r="E175" s="324"/>
      <c r="F175" s="513"/>
      <c r="G175" s="513"/>
      <c r="H175" s="513"/>
      <c r="I175" s="513"/>
      <c r="J175" s="523"/>
      <c r="K175" s="513"/>
      <c r="L175" s="523"/>
      <c r="M175" s="513"/>
      <c r="N175" s="524"/>
      <c r="O175" s="319"/>
      <c r="P175" s="319"/>
      <c r="Q175" s="319"/>
    </row>
    <row r="176" spans="1:17" s="320" customFormat="1" ht="15">
      <c r="A176" s="267"/>
      <c r="B176" s="340"/>
      <c r="C176" s="315"/>
      <c r="D176" s="315"/>
      <c r="E176" s="324"/>
      <c r="F176" s="513"/>
      <c r="G176" s="513"/>
      <c r="H176" s="513"/>
      <c r="I176" s="513"/>
      <c r="J176" s="523"/>
      <c r="K176" s="513"/>
      <c r="L176" s="523"/>
      <c r="M176" s="513"/>
      <c r="N176" s="524"/>
      <c r="O176" s="319"/>
      <c r="P176" s="319"/>
      <c r="Q176" s="319"/>
    </row>
    <row r="177" spans="1:17" s="320" customFormat="1" ht="15">
      <c r="A177" s="267"/>
      <c r="B177" s="340"/>
      <c r="C177" s="315"/>
      <c r="D177" s="315"/>
      <c r="E177" s="324"/>
      <c r="F177" s="513"/>
      <c r="G177" s="513"/>
      <c r="H177" s="513"/>
      <c r="I177" s="513"/>
      <c r="J177" s="523"/>
      <c r="K177" s="513"/>
      <c r="L177" s="523"/>
      <c r="M177" s="513"/>
      <c r="N177" s="524"/>
      <c r="O177" s="319"/>
      <c r="P177" s="319"/>
      <c r="Q177" s="319"/>
    </row>
    <row r="178" spans="1:17" s="320" customFormat="1" ht="15">
      <c r="A178" s="267"/>
      <c r="B178" s="340"/>
      <c r="C178" s="315"/>
      <c r="D178" s="315"/>
      <c r="E178" s="324"/>
      <c r="F178" s="513"/>
      <c r="G178" s="513"/>
      <c r="H178" s="513"/>
      <c r="I178" s="513"/>
      <c r="J178" s="523"/>
      <c r="K178" s="513"/>
      <c r="L178" s="523"/>
      <c r="M178" s="513"/>
      <c r="N178" s="524"/>
      <c r="O178" s="319"/>
      <c r="P178" s="319"/>
      <c r="Q178" s="319"/>
    </row>
    <row r="179" spans="1:17" s="320" customFormat="1" ht="15">
      <c r="A179" s="267"/>
      <c r="B179" s="340"/>
      <c r="C179" s="315"/>
      <c r="D179" s="315"/>
      <c r="E179" s="324"/>
      <c r="F179" s="513"/>
      <c r="G179" s="513"/>
      <c r="H179" s="513"/>
      <c r="I179" s="513"/>
      <c r="J179" s="523"/>
      <c r="K179" s="513"/>
      <c r="L179" s="523"/>
      <c r="M179" s="513"/>
      <c r="N179" s="524"/>
      <c r="O179" s="319"/>
      <c r="P179" s="319"/>
      <c r="Q179" s="319"/>
    </row>
    <row r="180" spans="1:17" s="320" customFormat="1" ht="15">
      <c r="A180" s="267"/>
      <c r="B180" s="340"/>
      <c r="C180" s="315"/>
      <c r="D180" s="315"/>
      <c r="E180" s="324"/>
      <c r="F180" s="513"/>
      <c r="G180" s="513"/>
      <c r="H180" s="513"/>
      <c r="I180" s="513"/>
      <c r="J180" s="523"/>
      <c r="K180" s="513"/>
      <c r="L180" s="523"/>
      <c r="M180" s="513"/>
      <c r="N180" s="524"/>
      <c r="O180" s="319"/>
      <c r="P180" s="319"/>
      <c r="Q180" s="319"/>
    </row>
    <row r="181" spans="1:17" s="320" customFormat="1" ht="15">
      <c r="A181" s="267"/>
      <c r="B181" s="340"/>
      <c r="C181" s="315"/>
      <c r="D181" s="315"/>
      <c r="E181" s="324"/>
      <c r="F181" s="513"/>
      <c r="G181" s="513"/>
      <c r="H181" s="513"/>
      <c r="I181" s="513"/>
      <c r="J181" s="523"/>
      <c r="K181" s="513"/>
      <c r="L181" s="523"/>
      <c r="M181" s="513"/>
      <c r="N181" s="524"/>
      <c r="O181" s="319"/>
      <c r="P181" s="319"/>
      <c r="Q181" s="319"/>
    </row>
    <row r="182" spans="1:17" s="320" customFormat="1" ht="15">
      <c r="A182" s="267"/>
      <c r="B182" s="340"/>
      <c r="C182" s="315"/>
      <c r="D182" s="315"/>
      <c r="E182" s="324"/>
      <c r="F182" s="513"/>
      <c r="G182" s="513"/>
      <c r="H182" s="513"/>
      <c r="I182" s="513"/>
      <c r="J182" s="523"/>
      <c r="K182" s="513"/>
      <c r="L182" s="523"/>
      <c r="M182" s="513"/>
      <c r="N182" s="524"/>
      <c r="O182" s="319"/>
      <c r="P182" s="319"/>
      <c r="Q182" s="319"/>
    </row>
    <row r="183" spans="1:17" s="320" customFormat="1" ht="15">
      <c r="A183" s="313"/>
      <c r="B183" s="341"/>
      <c r="C183" s="319"/>
      <c r="D183" s="319"/>
      <c r="E183" s="333"/>
      <c r="F183" s="524"/>
      <c r="G183" s="524"/>
      <c r="H183" s="524"/>
      <c r="I183" s="524"/>
      <c r="J183" s="525"/>
      <c r="K183" s="524"/>
      <c r="L183" s="525"/>
      <c r="M183" s="524"/>
      <c r="N183" s="524"/>
      <c r="O183" s="319"/>
      <c r="P183" s="319"/>
      <c r="Q183" s="319"/>
    </row>
    <row r="184" spans="1:17" s="320" customFormat="1" ht="15">
      <c r="A184" s="313"/>
      <c r="B184" s="341"/>
      <c r="C184" s="319"/>
      <c r="D184" s="319"/>
      <c r="E184" s="333"/>
      <c r="F184" s="524"/>
      <c r="G184" s="524"/>
      <c r="H184" s="524"/>
      <c r="I184" s="524"/>
      <c r="J184" s="525"/>
      <c r="K184" s="524"/>
      <c r="L184" s="525"/>
      <c r="M184" s="524"/>
      <c r="N184" s="524"/>
      <c r="O184" s="319"/>
      <c r="P184" s="319"/>
      <c r="Q184" s="319"/>
    </row>
    <row r="185" spans="1:17" s="320" customFormat="1" ht="15">
      <c r="A185" s="313"/>
      <c r="B185" s="341"/>
      <c r="C185" s="319"/>
      <c r="D185" s="319"/>
      <c r="E185" s="333"/>
      <c r="F185" s="524"/>
      <c r="G185" s="524"/>
      <c r="H185" s="524"/>
      <c r="I185" s="524"/>
      <c r="J185" s="525"/>
      <c r="K185" s="524"/>
      <c r="L185" s="525"/>
      <c r="M185" s="524"/>
      <c r="N185" s="524"/>
      <c r="O185" s="319"/>
      <c r="P185" s="319"/>
      <c r="Q185" s="319"/>
    </row>
    <row r="186" spans="1:17" s="320" customFormat="1" ht="15">
      <c r="A186" s="313"/>
      <c r="B186" s="341"/>
      <c r="C186" s="319"/>
      <c r="D186" s="319"/>
      <c r="E186" s="333"/>
      <c r="F186" s="524"/>
      <c r="G186" s="524"/>
      <c r="H186" s="524"/>
      <c r="I186" s="524"/>
      <c r="J186" s="525"/>
      <c r="K186" s="524"/>
      <c r="L186" s="525"/>
      <c r="M186" s="524"/>
      <c r="N186" s="524"/>
      <c r="O186" s="319"/>
      <c r="P186" s="319"/>
      <c r="Q186" s="319"/>
    </row>
    <row r="230" spans="1:4" ht="15">
      <c r="A230" s="319"/>
      <c r="B230" s="333"/>
      <c r="C230" s="322"/>
      <c r="D230" s="322"/>
    </row>
    <row r="231" spans="1:4" ht="15">
      <c r="A231" s="319"/>
      <c r="B231" s="333"/>
      <c r="C231" s="322"/>
      <c r="D231" s="322"/>
    </row>
    <row r="232" spans="1:4" ht="15">
      <c r="A232" s="319"/>
      <c r="B232" s="333"/>
      <c r="C232" s="322"/>
      <c r="D232" s="322"/>
    </row>
    <row r="233" spans="1:4" ht="15">
      <c r="A233" s="319"/>
      <c r="B233" s="333"/>
      <c r="C233" s="322"/>
      <c r="D233" s="322"/>
    </row>
    <row r="234" spans="1:4" ht="15">
      <c r="A234" s="319"/>
      <c r="B234" s="333"/>
      <c r="C234" s="322"/>
      <c r="D234" s="322"/>
    </row>
    <row r="235" spans="1:4" ht="15">
      <c r="A235" s="319"/>
      <c r="B235" s="333"/>
      <c r="C235" s="322"/>
      <c r="D235" s="322"/>
    </row>
    <row r="236" spans="1:4" ht="15">
      <c r="A236" s="319"/>
      <c r="B236" s="333"/>
      <c r="C236" s="322"/>
      <c r="D236" s="322"/>
    </row>
    <row r="237" spans="1:4" ht="15">
      <c r="A237" s="319"/>
      <c r="B237" s="333"/>
      <c r="C237" s="322"/>
      <c r="D237" s="322"/>
    </row>
    <row r="238" spans="1:4" ht="15">
      <c r="A238" s="319"/>
      <c r="B238" s="333"/>
      <c r="C238" s="322"/>
      <c r="D238" s="322"/>
    </row>
    <row r="239" spans="1:4" ht="15">
      <c r="A239" s="319"/>
      <c r="B239" s="333"/>
      <c r="C239" s="322"/>
      <c r="D239" s="322"/>
    </row>
    <row r="240" spans="1:4" ht="15">
      <c r="A240" s="319"/>
      <c r="B240" s="333"/>
      <c r="C240" s="322"/>
      <c r="D240" s="322"/>
    </row>
    <row r="241" spans="1:4" ht="15">
      <c r="A241" s="319"/>
      <c r="B241" s="333"/>
      <c r="C241" s="322"/>
      <c r="D241" s="322"/>
    </row>
    <row r="242" spans="1:4" ht="15">
      <c r="A242" s="319"/>
      <c r="B242" s="333"/>
      <c r="C242" s="322"/>
      <c r="D242" s="322"/>
    </row>
    <row r="243" spans="1:4" ht="15">
      <c r="A243" s="319"/>
      <c r="B243" s="333"/>
      <c r="C243" s="322"/>
      <c r="D243" s="322"/>
    </row>
    <row r="244" spans="1:4" ht="15">
      <c r="A244" s="319"/>
      <c r="B244" s="333"/>
      <c r="C244" s="322"/>
      <c r="D244" s="322"/>
    </row>
    <row r="245" spans="1:4" ht="15">
      <c r="A245" s="319"/>
      <c r="B245" s="333"/>
      <c r="C245" s="322"/>
      <c r="D245" s="322"/>
    </row>
    <row r="246" spans="1:4" ht="15">
      <c r="A246" s="319"/>
      <c r="B246" s="333"/>
      <c r="C246" s="322"/>
      <c r="D246" s="322"/>
    </row>
    <row r="247" spans="1:4" ht="15">
      <c r="A247" s="319"/>
      <c r="B247" s="333"/>
      <c r="C247" s="322"/>
      <c r="D247" s="322"/>
    </row>
    <row r="248" spans="1:4" ht="15">
      <c r="A248" s="319"/>
      <c r="B248" s="333"/>
      <c r="C248" s="322"/>
      <c r="D248" s="322"/>
    </row>
    <row r="249" spans="1:4" ht="15">
      <c r="A249" s="319"/>
      <c r="B249" s="333"/>
      <c r="C249" s="322"/>
      <c r="D249" s="322"/>
    </row>
    <row r="250" spans="1:4" ht="15">
      <c r="A250" s="319"/>
      <c r="B250" s="333"/>
      <c r="C250" s="322"/>
      <c r="D250" s="322"/>
    </row>
    <row r="251" spans="1:4" ht="15">
      <c r="A251" s="319"/>
      <c r="B251" s="333"/>
      <c r="C251" s="322"/>
      <c r="D251" s="322"/>
    </row>
    <row r="252" spans="1:4" ht="15">
      <c r="A252" s="319"/>
      <c r="B252" s="333"/>
      <c r="C252" s="322"/>
      <c r="D252" s="322"/>
    </row>
    <row r="253" spans="1:4" ht="15">
      <c r="A253" s="319"/>
      <c r="B253" s="333"/>
      <c r="C253" s="322"/>
      <c r="D253" s="322"/>
    </row>
    <row r="254" spans="1:4" ht="15">
      <c r="A254" s="319"/>
      <c r="B254" s="333"/>
      <c r="C254" s="322"/>
      <c r="D254" s="322"/>
    </row>
    <row r="255" spans="1:4" ht="15">
      <c r="A255" s="319"/>
      <c r="B255" s="333"/>
      <c r="C255" s="322"/>
      <c r="D255" s="322"/>
    </row>
    <row r="256" spans="1:4" ht="15">
      <c r="A256" s="319"/>
      <c r="B256" s="333"/>
      <c r="C256" s="322"/>
      <c r="D256" s="322"/>
    </row>
    <row r="257" spans="1:4" ht="15">
      <c r="A257" s="319"/>
      <c r="B257" s="333"/>
      <c r="C257" s="322"/>
      <c r="D257" s="322"/>
    </row>
    <row r="258" spans="1:4" ht="15">
      <c r="A258" s="319"/>
      <c r="B258" s="333"/>
      <c r="C258" s="322"/>
      <c r="D258" s="322"/>
    </row>
    <row r="259" spans="1:4" ht="15">
      <c r="A259" s="319"/>
      <c r="B259" s="333"/>
      <c r="C259" s="322"/>
      <c r="D259" s="322"/>
    </row>
    <row r="260" spans="1:4" ht="15">
      <c r="A260" s="319"/>
      <c r="B260" s="333"/>
      <c r="C260" s="322"/>
      <c r="D260" s="322"/>
    </row>
    <row r="261" spans="1:4" ht="15">
      <c r="A261" s="319"/>
      <c r="B261" s="333"/>
      <c r="C261" s="322"/>
      <c r="D261" s="322"/>
    </row>
    <row r="262" spans="1:4" ht="15">
      <c r="A262" s="319"/>
      <c r="B262" s="333"/>
      <c r="C262" s="322"/>
      <c r="D262" s="322"/>
    </row>
    <row r="263" spans="1:4" ht="15">
      <c r="A263" s="319"/>
      <c r="B263" s="333"/>
      <c r="C263" s="322"/>
      <c r="D263" s="322"/>
    </row>
    <row r="264" spans="1:4" ht="15">
      <c r="A264" s="319"/>
      <c r="B264" s="333"/>
      <c r="C264" s="322"/>
      <c r="D264" s="322"/>
    </row>
    <row r="265" spans="1:4" ht="15">
      <c r="A265" s="319"/>
      <c r="B265" s="333"/>
      <c r="C265" s="322"/>
      <c r="D265" s="322"/>
    </row>
    <row r="266" spans="1:4" ht="15">
      <c r="A266" s="319"/>
      <c r="B266" s="333"/>
      <c r="C266" s="322"/>
      <c r="D266" s="322"/>
    </row>
    <row r="267" spans="1:4" ht="15">
      <c r="A267" s="319"/>
      <c r="B267" s="333"/>
      <c r="C267" s="322"/>
      <c r="D267" s="322"/>
    </row>
    <row r="268" spans="1:4" ht="15">
      <c r="A268" s="319"/>
      <c r="B268" s="333"/>
      <c r="C268" s="322"/>
      <c r="D268" s="322"/>
    </row>
    <row r="269" spans="1:4" ht="15">
      <c r="A269" s="319"/>
      <c r="B269" s="333"/>
      <c r="C269" s="322"/>
      <c r="D269" s="322"/>
    </row>
    <row r="270" spans="1:4" ht="15">
      <c r="A270" s="319"/>
      <c r="B270" s="333"/>
      <c r="C270" s="322"/>
      <c r="D270" s="322"/>
    </row>
    <row r="271" spans="1:4" ht="15">
      <c r="A271" s="319"/>
      <c r="B271" s="333"/>
      <c r="C271" s="322"/>
      <c r="D271" s="322"/>
    </row>
    <row r="272" spans="1:4" ht="15">
      <c r="A272" s="319"/>
      <c r="B272" s="333"/>
      <c r="C272" s="322"/>
      <c r="D272" s="322"/>
    </row>
    <row r="273" spans="1:4" ht="15">
      <c r="A273" s="319"/>
      <c r="B273" s="333"/>
      <c r="C273" s="322"/>
      <c r="D273" s="322"/>
    </row>
    <row r="274" spans="1:4" ht="15">
      <c r="A274" s="319"/>
      <c r="B274" s="333"/>
      <c r="C274" s="322"/>
      <c r="D274" s="322"/>
    </row>
    <row r="275" spans="1:4" ht="15">
      <c r="A275" s="319"/>
      <c r="B275" s="333"/>
      <c r="C275" s="322"/>
      <c r="D275" s="322"/>
    </row>
    <row r="276" spans="1:4" ht="15">
      <c r="A276" s="319"/>
      <c r="B276" s="333"/>
      <c r="C276" s="322"/>
      <c r="D276" s="322"/>
    </row>
    <row r="277" spans="1:4" ht="15">
      <c r="A277" s="319"/>
      <c r="B277" s="333"/>
      <c r="C277" s="322"/>
      <c r="D277" s="322"/>
    </row>
    <row r="278" spans="1:4" ht="15">
      <c r="A278" s="319"/>
      <c r="B278" s="333"/>
      <c r="C278" s="322"/>
      <c r="D278" s="322"/>
    </row>
    <row r="279" spans="1:4" ht="15">
      <c r="A279" s="319"/>
      <c r="B279" s="333"/>
      <c r="C279" s="322"/>
      <c r="D279" s="322"/>
    </row>
    <row r="280" spans="1:4" ht="15">
      <c r="A280" s="319"/>
      <c r="B280" s="333"/>
      <c r="C280" s="322"/>
      <c r="D280" s="322"/>
    </row>
    <row r="281" spans="1:4" ht="15">
      <c r="A281" s="319"/>
      <c r="B281" s="333"/>
      <c r="C281" s="322"/>
      <c r="D281" s="322"/>
    </row>
    <row r="282" spans="1:4" ht="15">
      <c r="A282" s="319"/>
      <c r="B282" s="333"/>
      <c r="C282" s="322"/>
      <c r="D282" s="322"/>
    </row>
    <row r="283" spans="1:4" ht="15">
      <c r="A283" s="319"/>
      <c r="B283" s="333"/>
      <c r="C283" s="322"/>
      <c r="D283" s="322"/>
    </row>
    <row r="284" spans="1:4" ht="15">
      <c r="A284" s="319"/>
      <c r="B284" s="333"/>
      <c r="C284" s="322"/>
      <c r="D284" s="322"/>
    </row>
    <row r="285" spans="1:4" ht="15">
      <c r="A285" s="319"/>
      <c r="B285" s="333"/>
      <c r="C285" s="322"/>
      <c r="D285" s="322"/>
    </row>
    <row r="286" spans="1:4" ht="15">
      <c r="A286" s="319"/>
      <c r="B286" s="333"/>
      <c r="C286" s="322"/>
      <c r="D286" s="322"/>
    </row>
    <row r="287" spans="1:4" ht="15">
      <c r="A287" s="319"/>
      <c r="B287" s="333"/>
      <c r="C287" s="322"/>
      <c r="D287" s="322"/>
    </row>
    <row r="288" spans="1:4" ht="15">
      <c r="A288" s="319"/>
      <c r="B288" s="333"/>
      <c r="C288" s="322"/>
      <c r="D288" s="322"/>
    </row>
    <row r="289" spans="1:4" ht="15">
      <c r="A289" s="319"/>
      <c r="B289" s="333"/>
      <c r="C289" s="322"/>
      <c r="D289" s="322"/>
    </row>
    <row r="290" spans="1:4" ht="15">
      <c r="A290" s="319"/>
      <c r="B290" s="333"/>
      <c r="C290" s="322"/>
      <c r="D290" s="322"/>
    </row>
    <row r="291" spans="1:4" ht="15">
      <c r="A291" s="319"/>
      <c r="B291" s="333"/>
      <c r="C291" s="322"/>
      <c r="D291" s="322"/>
    </row>
    <row r="292" spans="1:4" ht="15">
      <c r="A292" s="319"/>
      <c r="B292" s="333"/>
      <c r="C292" s="322"/>
      <c r="D292" s="322"/>
    </row>
    <row r="293" spans="1:4" ht="15">
      <c r="A293" s="319"/>
      <c r="B293" s="333"/>
      <c r="C293" s="322"/>
      <c r="D293" s="322"/>
    </row>
    <row r="294" spans="1:4" ht="15">
      <c r="A294" s="319"/>
      <c r="B294" s="333"/>
      <c r="C294" s="322"/>
      <c r="D294" s="322"/>
    </row>
    <row r="295" spans="1:4" ht="15">
      <c r="A295" s="319"/>
      <c r="B295" s="333"/>
      <c r="C295" s="322"/>
      <c r="D295" s="322"/>
    </row>
    <row r="296" spans="1:4" ht="15">
      <c r="A296" s="319"/>
      <c r="B296" s="333"/>
      <c r="C296" s="322"/>
      <c r="D296" s="322"/>
    </row>
    <row r="297" spans="1:4" ht="15">
      <c r="A297" s="319"/>
      <c r="B297" s="333"/>
      <c r="C297" s="322"/>
      <c r="D297" s="322"/>
    </row>
    <row r="298" spans="1:4" ht="15">
      <c r="A298" s="319"/>
      <c r="B298" s="333"/>
      <c r="C298" s="322"/>
      <c r="D298" s="322"/>
    </row>
    <row r="299" spans="1:4" ht="15">
      <c r="A299" s="319"/>
      <c r="B299" s="333"/>
      <c r="C299" s="322"/>
      <c r="D299" s="322"/>
    </row>
    <row r="300" spans="1:4" ht="15">
      <c r="A300" s="319"/>
      <c r="B300" s="333"/>
      <c r="C300" s="322"/>
      <c r="D300" s="322"/>
    </row>
    <row r="301" spans="1:4" ht="15">
      <c r="A301" s="319"/>
      <c r="B301" s="333"/>
      <c r="C301" s="322"/>
      <c r="D301" s="322"/>
    </row>
    <row r="302" spans="1:4" ht="15">
      <c r="A302" s="319"/>
      <c r="B302" s="333"/>
      <c r="C302" s="322"/>
      <c r="D302" s="322"/>
    </row>
    <row r="303" spans="1:4" ht="15">
      <c r="A303" s="319"/>
      <c r="B303" s="333"/>
      <c r="C303" s="322"/>
      <c r="D303" s="322"/>
    </row>
    <row r="304" spans="1:4" ht="15">
      <c r="A304" s="319"/>
      <c r="B304" s="333"/>
      <c r="C304" s="322"/>
      <c r="D304" s="322"/>
    </row>
    <row r="305" spans="1:4" ht="15">
      <c r="A305" s="319"/>
      <c r="B305" s="333"/>
      <c r="C305" s="322"/>
      <c r="D305" s="322"/>
    </row>
    <row r="306" spans="1:4" ht="15">
      <c r="A306" s="319"/>
      <c r="B306" s="333"/>
      <c r="C306" s="322"/>
      <c r="D306" s="322"/>
    </row>
    <row r="307" spans="1:4" ht="15">
      <c r="A307" s="319"/>
      <c r="B307" s="333"/>
      <c r="C307" s="322"/>
      <c r="D307" s="322"/>
    </row>
    <row r="308" spans="1:4" ht="15">
      <c r="A308" s="319"/>
      <c r="B308" s="333"/>
      <c r="C308" s="322"/>
      <c r="D308" s="322"/>
    </row>
    <row r="309" spans="1:4" ht="15">
      <c r="A309" s="319"/>
      <c r="B309" s="333"/>
      <c r="C309" s="322"/>
      <c r="D309" s="322"/>
    </row>
    <row r="310" spans="1:4" ht="15">
      <c r="A310" s="319"/>
      <c r="B310" s="333"/>
      <c r="C310" s="322"/>
      <c r="D310" s="322"/>
    </row>
    <row r="311" spans="1:4" ht="15">
      <c r="A311" s="319"/>
      <c r="B311" s="333"/>
      <c r="C311" s="322"/>
      <c r="D311" s="322"/>
    </row>
    <row r="312" spans="1:4" ht="15">
      <c r="A312" s="319"/>
      <c r="B312" s="333"/>
      <c r="C312" s="322"/>
      <c r="D312" s="322"/>
    </row>
    <row r="313" spans="1:4" ht="15">
      <c r="A313" s="319"/>
      <c r="B313" s="333"/>
      <c r="C313" s="322"/>
      <c r="D313" s="322"/>
    </row>
    <row r="314" spans="1:4" ht="15">
      <c r="A314" s="319"/>
      <c r="B314" s="333"/>
      <c r="C314" s="322"/>
      <c r="D314" s="322"/>
    </row>
    <row r="315" spans="1:4" ht="15">
      <c r="A315" s="319"/>
      <c r="B315" s="333"/>
      <c r="C315" s="322"/>
      <c r="D315" s="322"/>
    </row>
    <row r="316" spans="1:4" ht="15">
      <c r="A316" s="319"/>
      <c r="B316" s="333"/>
      <c r="C316" s="322"/>
      <c r="D316" s="322"/>
    </row>
    <row r="317" spans="1:4" ht="15">
      <c r="A317" s="319"/>
      <c r="B317" s="333"/>
      <c r="C317" s="322"/>
      <c r="D317" s="322"/>
    </row>
    <row r="318" spans="1:4" ht="15">
      <c r="A318" s="319"/>
      <c r="B318" s="333"/>
      <c r="C318" s="322"/>
      <c r="D318" s="322"/>
    </row>
    <row r="319" spans="1:4" ht="15">
      <c r="A319" s="319"/>
      <c r="B319" s="333"/>
      <c r="C319" s="322"/>
      <c r="D319" s="322"/>
    </row>
    <row r="320" spans="1:4" ht="15">
      <c r="A320" s="319"/>
      <c r="B320" s="333"/>
      <c r="C320" s="322"/>
      <c r="D320" s="322"/>
    </row>
    <row r="321" spans="1:4" ht="15">
      <c r="A321" s="319"/>
      <c r="B321" s="333"/>
      <c r="C321" s="322"/>
      <c r="D321" s="322"/>
    </row>
    <row r="322" spans="1:4" ht="15">
      <c r="A322" s="319"/>
      <c r="B322" s="333"/>
      <c r="C322" s="322"/>
      <c r="D322" s="322"/>
    </row>
    <row r="323" spans="1:4" ht="15">
      <c r="A323" s="319"/>
      <c r="B323" s="333"/>
      <c r="C323" s="322"/>
      <c r="D323" s="322"/>
    </row>
    <row r="324" spans="1:4" ht="15">
      <c r="A324" s="319"/>
      <c r="B324" s="333"/>
      <c r="C324" s="322"/>
      <c r="D324" s="322"/>
    </row>
    <row r="325" spans="1:4" ht="15">
      <c r="A325" s="319"/>
      <c r="B325" s="333"/>
      <c r="C325" s="322"/>
      <c r="D325" s="322"/>
    </row>
    <row r="326" spans="1:4" ht="15">
      <c r="A326" s="319"/>
      <c r="B326" s="333"/>
      <c r="C326" s="322"/>
      <c r="D326" s="322"/>
    </row>
    <row r="327" spans="1:4" ht="15">
      <c r="A327" s="319"/>
      <c r="B327" s="333"/>
      <c r="C327" s="322"/>
      <c r="D327" s="322"/>
    </row>
    <row r="328" spans="1:4" ht="15">
      <c r="A328" s="319"/>
      <c r="B328" s="333"/>
      <c r="C328" s="322"/>
      <c r="D328" s="322"/>
    </row>
    <row r="329" spans="1:4" ht="15">
      <c r="A329" s="319"/>
      <c r="B329" s="333"/>
      <c r="C329" s="322"/>
      <c r="D329" s="322"/>
    </row>
    <row r="330" spans="1:4" ht="15">
      <c r="A330" s="319"/>
      <c r="B330" s="333"/>
      <c r="C330" s="322"/>
      <c r="D330" s="322"/>
    </row>
    <row r="331" spans="1:4" ht="15">
      <c r="A331" s="319"/>
      <c r="B331" s="333"/>
      <c r="C331" s="322"/>
      <c r="D331" s="322"/>
    </row>
    <row r="332" spans="1:4" ht="15">
      <c r="A332" s="319"/>
      <c r="B332" s="333"/>
      <c r="C332" s="322"/>
      <c r="D332" s="322"/>
    </row>
    <row r="333" spans="1:4" ht="15">
      <c r="A333" s="319"/>
      <c r="B333" s="333"/>
      <c r="C333" s="322"/>
      <c r="D333" s="322"/>
    </row>
    <row r="334" spans="1:4" ht="15">
      <c r="A334" s="319"/>
      <c r="B334" s="333"/>
      <c r="C334" s="322"/>
      <c r="D334" s="322"/>
    </row>
    <row r="335" spans="1:4" ht="15">
      <c r="A335" s="319"/>
      <c r="B335" s="333"/>
      <c r="C335" s="322"/>
      <c r="D335" s="322"/>
    </row>
    <row r="336" spans="1:4" ht="15">
      <c r="A336" s="319"/>
      <c r="B336" s="333"/>
      <c r="C336" s="322"/>
      <c r="D336" s="322"/>
    </row>
    <row r="337" spans="1:4" ht="15">
      <c r="A337" s="319"/>
      <c r="B337" s="333"/>
      <c r="C337" s="322"/>
      <c r="D337" s="322"/>
    </row>
    <row r="338" spans="1:4" ht="15">
      <c r="A338" s="319"/>
      <c r="B338" s="333"/>
      <c r="C338" s="322"/>
      <c r="D338" s="322"/>
    </row>
    <row r="339" spans="1:4" ht="15">
      <c r="A339" s="319"/>
      <c r="B339" s="333"/>
      <c r="C339" s="322"/>
      <c r="D339" s="322"/>
    </row>
    <row r="340" spans="1:4" ht="15">
      <c r="A340" s="319"/>
      <c r="B340" s="333"/>
      <c r="C340" s="322"/>
      <c r="D340" s="322"/>
    </row>
    <row r="341" spans="1:4" ht="15">
      <c r="A341" s="319"/>
      <c r="B341" s="333"/>
      <c r="C341" s="322"/>
      <c r="D341" s="322"/>
    </row>
    <row r="342" spans="1:4" ht="15">
      <c r="A342" s="319"/>
      <c r="B342" s="333"/>
      <c r="C342" s="322"/>
      <c r="D342" s="322"/>
    </row>
    <row r="343" spans="1:4" ht="15">
      <c r="A343" s="319"/>
      <c r="B343" s="333"/>
      <c r="C343" s="322"/>
      <c r="D343" s="322"/>
    </row>
    <row r="344" spans="1:4" ht="15">
      <c r="A344" s="319"/>
      <c r="B344" s="333"/>
      <c r="C344" s="322"/>
      <c r="D344" s="322"/>
    </row>
    <row r="345" spans="1:4" ht="15">
      <c r="A345" s="319"/>
      <c r="B345" s="333"/>
      <c r="C345" s="322"/>
      <c r="D345" s="322"/>
    </row>
    <row r="346" spans="1:4" ht="15">
      <c r="A346" s="319"/>
      <c r="B346" s="333"/>
      <c r="C346" s="322"/>
      <c r="D346" s="322"/>
    </row>
    <row r="347" spans="1:4" ht="15">
      <c r="A347" s="319"/>
      <c r="B347" s="333"/>
      <c r="C347" s="322"/>
      <c r="D347" s="322"/>
    </row>
    <row r="348" spans="1:4" ht="15">
      <c r="A348" s="319"/>
      <c r="B348" s="333"/>
      <c r="C348" s="322"/>
      <c r="D348" s="322"/>
    </row>
    <row r="349" spans="1:4" ht="15">
      <c r="A349" s="319"/>
      <c r="B349" s="333"/>
      <c r="C349" s="322"/>
      <c r="D349" s="322"/>
    </row>
    <row r="350" spans="1:4" ht="15">
      <c r="A350" s="319"/>
      <c r="B350" s="333"/>
      <c r="C350" s="322"/>
      <c r="D350" s="322"/>
    </row>
    <row r="351" spans="1:4" ht="15">
      <c r="A351" s="319"/>
      <c r="B351" s="333"/>
      <c r="C351" s="322"/>
      <c r="D351" s="322"/>
    </row>
    <row r="352" spans="1:4" ht="15">
      <c r="A352" s="319"/>
      <c r="B352" s="333"/>
      <c r="C352" s="322"/>
      <c r="D352" s="322"/>
    </row>
    <row r="353" spans="1:4" ht="15">
      <c r="A353" s="319"/>
      <c r="B353" s="333"/>
      <c r="C353" s="322"/>
      <c r="D353" s="322"/>
    </row>
    <row r="354" spans="1:4" ht="15">
      <c r="A354" s="319"/>
      <c r="B354" s="333"/>
      <c r="C354" s="322"/>
      <c r="D354" s="322"/>
    </row>
    <row r="355" spans="1:4" ht="15">
      <c r="A355" s="319"/>
      <c r="B355" s="333"/>
      <c r="C355" s="322"/>
      <c r="D355" s="322"/>
    </row>
    <row r="356" spans="1:4" ht="15">
      <c r="A356" s="319"/>
      <c r="B356" s="333"/>
      <c r="C356" s="322"/>
      <c r="D356" s="322"/>
    </row>
    <row r="357" spans="1:4" ht="15">
      <c r="A357" s="319"/>
      <c r="B357" s="333"/>
      <c r="C357" s="322"/>
      <c r="D357" s="322"/>
    </row>
    <row r="358" spans="1:4" ht="15">
      <c r="A358" s="319"/>
      <c r="B358" s="333"/>
      <c r="C358" s="322"/>
      <c r="D358" s="322"/>
    </row>
    <row r="359" spans="1:4" ht="15">
      <c r="A359" s="319"/>
      <c r="B359" s="333"/>
      <c r="C359" s="322"/>
      <c r="D359" s="322"/>
    </row>
    <row r="360" spans="1:4" ht="15">
      <c r="A360" s="319"/>
      <c r="B360" s="333"/>
      <c r="C360" s="322"/>
      <c r="D360" s="322"/>
    </row>
    <row r="361" spans="1:4" ht="15">
      <c r="A361" s="319"/>
      <c r="B361" s="333"/>
      <c r="C361" s="322"/>
      <c r="D361" s="322"/>
    </row>
    <row r="362" spans="1:4" ht="15">
      <c r="A362" s="319"/>
      <c r="B362" s="333"/>
      <c r="C362" s="322"/>
      <c r="D362" s="322"/>
    </row>
    <row r="363" spans="1:4" ht="15">
      <c r="A363" s="319"/>
      <c r="B363" s="333"/>
      <c r="C363" s="322"/>
      <c r="D363" s="322"/>
    </row>
    <row r="364" spans="1:4" ht="15">
      <c r="A364" s="319"/>
      <c r="B364" s="333"/>
      <c r="C364" s="322"/>
      <c r="D364" s="322"/>
    </row>
    <row r="365" spans="1:4" ht="15">
      <c r="A365" s="319"/>
      <c r="B365" s="333"/>
      <c r="C365" s="322"/>
      <c r="D365" s="322"/>
    </row>
    <row r="366" spans="1:4" ht="15">
      <c r="A366" s="319"/>
      <c r="B366" s="333"/>
      <c r="C366" s="322"/>
      <c r="D366" s="322"/>
    </row>
    <row r="367" spans="1:4" ht="15">
      <c r="A367" s="319"/>
      <c r="B367" s="333"/>
      <c r="C367" s="322"/>
      <c r="D367" s="322"/>
    </row>
    <row r="368" spans="1:4" ht="15">
      <c r="A368" s="319"/>
      <c r="B368" s="333"/>
      <c r="C368" s="322"/>
      <c r="D368" s="322"/>
    </row>
    <row r="369" spans="1:4" ht="15">
      <c r="A369" s="319"/>
      <c r="B369" s="333"/>
      <c r="C369" s="322"/>
      <c r="D369" s="322"/>
    </row>
    <row r="370" spans="1:4" ht="15">
      <c r="A370" s="319"/>
      <c r="B370" s="333"/>
      <c r="C370" s="322"/>
      <c r="D370" s="322"/>
    </row>
    <row r="371" spans="1:4" ht="15">
      <c r="A371" s="319"/>
      <c r="B371" s="333"/>
      <c r="C371" s="322"/>
      <c r="D371" s="322"/>
    </row>
    <row r="372" spans="1:4" ht="15">
      <c r="A372" s="319"/>
      <c r="B372" s="333"/>
      <c r="C372" s="322"/>
      <c r="D372" s="322"/>
    </row>
    <row r="373" spans="1:4" ht="15">
      <c r="A373" s="319"/>
      <c r="B373" s="333"/>
      <c r="C373" s="322"/>
      <c r="D373" s="322"/>
    </row>
    <row r="374" spans="1:4" ht="15">
      <c r="A374" s="319"/>
      <c r="B374" s="333"/>
      <c r="C374" s="322"/>
      <c r="D374" s="322"/>
    </row>
    <row r="375" spans="1:4" ht="15">
      <c r="A375" s="319"/>
      <c r="B375" s="333"/>
      <c r="C375" s="322"/>
      <c r="D375" s="322"/>
    </row>
    <row r="376" spans="1:4" ht="15">
      <c r="A376" s="319"/>
      <c r="B376" s="333"/>
      <c r="C376" s="322"/>
      <c r="D376" s="322"/>
    </row>
    <row r="377" spans="1:4" ht="15">
      <c r="A377" s="319"/>
      <c r="B377" s="333"/>
      <c r="C377" s="322"/>
      <c r="D377" s="322"/>
    </row>
    <row r="378" spans="1:4" ht="15">
      <c r="A378" s="319"/>
      <c r="B378" s="333"/>
      <c r="C378" s="322"/>
      <c r="D378" s="322"/>
    </row>
    <row r="379" spans="1:4" ht="15">
      <c r="A379" s="319"/>
      <c r="B379" s="333"/>
      <c r="C379" s="322"/>
      <c r="D379" s="322"/>
    </row>
    <row r="380" spans="1:4" ht="15">
      <c r="A380" s="319"/>
      <c r="B380" s="333"/>
      <c r="C380" s="322"/>
      <c r="D380" s="322"/>
    </row>
    <row r="381" spans="1:4" ht="15">
      <c r="A381" s="319"/>
      <c r="B381" s="333"/>
      <c r="C381" s="322"/>
      <c r="D381" s="322"/>
    </row>
    <row r="382" spans="1:4" ht="15">
      <c r="A382" s="319"/>
      <c r="B382" s="333"/>
      <c r="C382" s="322"/>
      <c r="D382" s="322"/>
    </row>
    <row r="383" spans="1:4" ht="15">
      <c r="A383" s="319"/>
      <c r="B383" s="333"/>
      <c r="C383" s="322"/>
      <c r="D383" s="322"/>
    </row>
    <row r="384" spans="1:4" ht="15">
      <c r="A384" s="319"/>
      <c r="B384" s="333"/>
      <c r="C384" s="322"/>
      <c r="D384" s="322"/>
    </row>
    <row r="385" spans="1:4" ht="15">
      <c r="A385" s="319"/>
      <c r="B385" s="333"/>
      <c r="C385" s="322"/>
      <c r="D385" s="322"/>
    </row>
    <row r="386" spans="1:4" ht="15">
      <c r="A386" s="319"/>
      <c r="B386" s="333"/>
      <c r="C386" s="322"/>
      <c r="D386" s="322"/>
    </row>
    <row r="387" spans="1:4" ht="15">
      <c r="A387" s="319"/>
      <c r="B387" s="333"/>
      <c r="C387" s="322"/>
      <c r="D387" s="322"/>
    </row>
    <row r="388" spans="1:4" ht="15">
      <c r="A388" s="319"/>
      <c r="B388" s="333"/>
      <c r="C388" s="322"/>
      <c r="D388" s="322"/>
    </row>
    <row r="389" spans="1:4" ht="15">
      <c r="A389" s="319"/>
      <c r="B389" s="333"/>
      <c r="C389" s="322"/>
      <c r="D389" s="322"/>
    </row>
    <row r="390" spans="1:4" ht="15">
      <c r="A390" s="319"/>
      <c r="B390" s="333"/>
      <c r="C390" s="322"/>
      <c r="D390" s="322"/>
    </row>
    <row r="391" spans="1:4" ht="15">
      <c r="A391" s="319"/>
      <c r="B391" s="333"/>
      <c r="C391" s="322"/>
      <c r="D391" s="322"/>
    </row>
    <row r="392" spans="1:4" ht="15">
      <c r="A392" s="319"/>
      <c r="B392" s="333"/>
      <c r="C392" s="322"/>
      <c r="D392" s="322"/>
    </row>
    <row r="393" spans="1:4" ht="15">
      <c r="A393" s="319"/>
      <c r="B393" s="333"/>
      <c r="C393" s="322"/>
      <c r="D393" s="322"/>
    </row>
    <row r="394" spans="1:4" ht="15">
      <c r="A394" s="319"/>
      <c r="B394" s="333"/>
      <c r="C394" s="322"/>
      <c r="D394" s="322"/>
    </row>
    <row r="395" spans="1:4" ht="15">
      <c r="A395" s="319"/>
      <c r="B395" s="333"/>
      <c r="C395" s="322"/>
      <c r="D395" s="322"/>
    </row>
    <row r="396" spans="1:4" ht="15">
      <c r="A396" s="319"/>
      <c r="B396" s="333"/>
      <c r="C396" s="322"/>
      <c r="D396" s="322"/>
    </row>
    <row r="397" spans="1:4" ht="15">
      <c r="A397" s="319"/>
      <c r="B397" s="333"/>
      <c r="C397" s="322"/>
      <c r="D397" s="322"/>
    </row>
    <row r="398" spans="1:4" ht="15">
      <c r="A398" s="319"/>
      <c r="B398" s="333"/>
      <c r="C398" s="322"/>
      <c r="D398" s="322"/>
    </row>
    <row r="399" spans="1:4" ht="15">
      <c r="A399" s="319"/>
      <c r="B399" s="333"/>
      <c r="C399" s="322"/>
      <c r="D399" s="322"/>
    </row>
    <row r="400" spans="1:4" ht="15">
      <c r="A400" s="319"/>
      <c r="B400" s="333"/>
      <c r="C400" s="322"/>
      <c r="D400" s="322"/>
    </row>
    <row r="401" spans="1:4" ht="15">
      <c r="A401" s="319"/>
      <c r="B401" s="333"/>
      <c r="C401" s="322"/>
      <c r="D401" s="322"/>
    </row>
    <row r="402" spans="1:4" ht="15">
      <c r="A402" s="319"/>
      <c r="B402" s="333"/>
      <c r="C402" s="322"/>
      <c r="D402" s="322"/>
    </row>
    <row r="403" spans="1:4" ht="15">
      <c r="A403" s="319"/>
      <c r="B403" s="333"/>
      <c r="C403" s="322"/>
      <c r="D403" s="322"/>
    </row>
    <row r="404" spans="1:4" ht="15">
      <c r="A404" s="319"/>
      <c r="B404" s="333"/>
      <c r="C404" s="322"/>
      <c r="D404" s="322"/>
    </row>
    <row r="405" spans="1:4" ht="15">
      <c r="A405" s="319"/>
      <c r="B405" s="333"/>
      <c r="C405" s="322"/>
      <c r="D405" s="322"/>
    </row>
    <row r="406" spans="1:4" ht="15">
      <c r="A406" s="319"/>
      <c r="B406" s="333"/>
      <c r="C406" s="322"/>
      <c r="D406" s="322"/>
    </row>
    <row r="407" spans="1:4" ht="15">
      <c r="A407" s="319"/>
      <c r="B407" s="333"/>
      <c r="C407" s="322"/>
      <c r="D407" s="322"/>
    </row>
    <row r="408" spans="1:4" ht="15">
      <c r="A408" s="319"/>
      <c r="B408" s="333"/>
      <c r="C408" s="322"/>
      <c r="D408" s="322"/>
    </row>
    <row r="409" spans="1:4" ht="15">
      <c r="A409" s="319"/>
      <c r="B409" s="333"/>
      <c r="C409" s="322"/>
      <c r="D409" s="322"/>
    </row>
    <row r="410" spans="1:4" ht="15">
      <c r="A410" s="319"/>
      <c r="B410" s="333"/>
      <c r="C410" s="322"/>
      <c r="D410" s="322"/>
    </row>
    <row r="411" spans="1:4" ht="15">
      <c r="A411" s="319"/>
      <c r="B411" s="333"/>
      <c r="C411" s="322"/>
      <c r="D411" s="322"/>
    </row>
    <row r="412" spans="1:4" ht="15">
      <c r="A412" s="319"/>
      <c r="B412" s="333"/>
      <c r="C412" s="322"/>
      <c r="D412" s="322"/>
    </row>
    <row r="413" spans="1:4" ht="15">
      <c r="A413" s="319"/>
      <c r="B413" s="333"/>
      <c r="C413" s="322"/>
      <c r="D413" s="322"/>
    </row>
    <row r="414" spans="1:4" ht="15">
      <c r="A414" s="319"/>
      <c r="B414" s="333"/>
      <c r="C414" s="322"/>
      <c r="D414" s="322"/>
    </row>
    <row r="415" spans="1:4" ht="15">
      <c r="A415" s="319"/>
      <c r="B415" s="333"/>
      <c r="C415" s="322"/>
      <c r="D415" s="322"/>
    </row>
    <row r="416" spans="1:4" ht="15">
      <c r="A416" s="319"/>
      <c r="B416" s="333"/>
      <c r="C416" s="322"/>
      <c r="D416" s="322"/>
    </row>
    <row r="417" spans="1:4" ht="15">
      <c r="A417" s="319"/>
      <c r="B417" s="333"/>
      <c r="C417" s="322"/>
      <c r="D417" s="322"/>
    </row>
    <row r="418" spans="1:4" ht="15">
      <c r="A418" s="319"/>
      <c r="B418" s="333"/>
      <c r="C418" s="322"/>
      <c r="D418" s="322"/>
    </row>
    <row r="419" spans="1:4" ht="15">
      <c r="A419" s="319"/>
      <c r="B419" s="333"/>
      <c r="C419" s="322"/>
      <c r="D419" s="322"/>
    </row>
    <row r="420" spans="1:4" ht="15">
      <c r="A420" s="319"/>
      <c r="B420" s="333"/>
      <c r="C420" s="322"/>
      <c r="D420" s="322"/>
    </row>
    <row r="421" spans="1:4" ht="15">
      <c r="A421" s="319"/>
      <c r="B421" s="333"/>
      <c r="C421" s="322"/>
      <c r="D421" s="322"/>
    </row>
    <row r="422" spans="1:4" ht="15">
      <c r="A422" s="319"/>
      <c r="B422" s="333"/>
      <c r="C422" s="322"/>
      <c r="D422" s="322"/>
    </row>
    <row r="423" spans="1:4" ht="15">
      <c r="A423" s="319"/>
      <c r="B423" s="333"/>
      <c r="C423" s="322"/>
      <c r="D423" s="322"/>
    </row>
    <row r="424" spans="1:4" ht="15">
      <c r="A424" s="319"/>
      <c r="B424" s="333"/>
      <c r="C424" s="322"/>
      <c r="D424" s="322"/>
    </row>
    <row r="425" spans="1:4" ht="15">
      <c r="A425" s="319"/>
      <c r="B425" s="333"/>
      <c r="C425" s="322"/>
      <c r="D425" s="322"/>
    </row>
    <row r="426" spans="1:4" ht="15">
      <c r="A426" s="319"/>
      <c r="B426" s="333"/>
      <c r="C426" s="322"/>
      <c r="D426" s="322"/>
    </row>
    <row r="427" spans="1:4" ht="15">
      <c r="A427" s="319"/>
      <c r="B427" s="333"/>
      <c r="C427" s="322"/>
      <c r="D427" s="322"/>
    </row>
    <row r="428" spans="1:4" ht="15">
      <c r="A428" s="319"/>
      <c r="B428" s="333"/>
      <c r="C428" s="322"/>
      <c r="D428" s="322"/>
    </row>
    <row r="429" spans="1:4" ht="15">
      <c r="A429" s="319"/>
      <c r="B429" s="333"/>
      <c r="C429" s="322"/>
      <c r="D429" s="322"/>
    </row>
    <row r="430" spans="1:4" ht="15">
      <c r="A430" s="319"/>
      <c r="B430" s="333"/>
      <c r="C430" s="322"/>
      <c r="D430" s="322"/>
    </row>
    <row r="431" spans="1:4" ht="15">
      <c r="A431" s="319"/>
      <c r="B431" s="333"/>
      <c r="C431" s="322"/>
      <c r="D431" s="322"/>
    </row>
    <row r="432" spans="1:4" ht="15">
      <c r="A432" s="319"/>
      <c r="B432" s="333"/>
      <c r="C432" s="322"/>
      <c r="D432" s="322"/>
    </row>
    <row r="433" spans="1:4" ht="15">
      <c r="A433" s="319"/>
      <c r="B433" s="333"/>
      <c r="C433" s="322"/>
      <c r="D433" s="322"/>
    </row>
    <row r="434" spans="1:4" ht="15">
      <c r="A434" s="319"/>
      <c r="B434" s="333"/>
      <c r="C434" s="322"/>
      <c r="D434" s="322"/>
    </row>
    <row r="435" spans="1:4" ht="15">
      <c r="A435" s="319"/>
      <c r="B435" s="333"/>
      <c r="C435" s="322"/>
      <c r="D435" s="322"/>
    </row>
    <row r="436" spans="1:4" ht="15">
      <c r="A436" s="319"/>
      <c r="B436" s="333"/>
      <c r="C436" s="322"/>
      <c r="D436" s="322"/>
    </row>
    <row r="437" spans="1:4" ht="15">
      <c r="A437" s="319"/>
      <c r="B437" s="333"/>
      <c r="C437" s="322"/>
      <c r="D437" s="322"/>
    </row>
    <row r="438" spans="1:4" ht="15">
      <c r="A438" s="319"/>
      <c r="B438" s="333"/>
      <c r="C438" s="322"/>
      <c r="D438" s="322"/>
    </row>
    <row r="439" spans="1:4" ht="15">
      <c r="A439" s="319"/>
      <c r="B439" s="333"/>
      <c r="C439" s="322"/>
      <c r="D439" s="322"/>
    </row>
    <row r="440" spans="1:4" ht="15">
      <c r="A440" s="319"/>
      <c r="B440" s="333"/>
      <c r="C440" s="322"/>
      <c r="D440" s="322"/>
    </row>
    <row r="441" spans="1:4" ht="15">
      <c r="A441" s="319"/>
      <c r="B441" s="333"/>
      <c r="C441" s="322"/>
      <c r="D441" s="322"/>
    </row>
    <row r="442" spans="1:4" ht="15">
      <c r="A442" s="319"/>
      <c r="B442" s="333"/>
      <c r="C442" s="322"/>
      <c r="D442" s="322"/>
    </row>
    <row r="443" spans="1:4" ht="15">
      <c r="A443" s="319"/>
      <c r="B443" s="333"/>
      <c r="C443" s="322"/>
      <c r="D443" s="322"/>
    </row>
    <row r="444" spans="1:4" ht="15">
      <c r="A444" s="319"/>
      <c r="B444" s="333"/>
      <c r="C444" s="322"/>
      <c r="D444" s="322"/>
    </row>
    <row r="445" spans="1:4" ht="15">
      <c r="A445" s="319"/>
      <c r="B445" s="333"/>
      <c r="C445" s="322"/>
      <c r="D445" s="322"/>
    </row>
    <row r="446" spans="1:4" ht="15">
      <c r="A446" s="319"/>
      <c r="B446" s="333"/>
      <c r="C446" s="322"/>
      <c r="D446" s="322"/>
    </row>
    <row r="447" spans="1:4" ht="15">
      <c r="A447" s="319"/>
      <c r="B447" s="333"/>
      <c r="C447" s="322"/>
      <c r="D447" s="322"/>
    </row>
    <row r="448" spans="1:4" ht="15">
      <c r="A448" s="319"/>
      <c r="B448" s="333"/>
      <c r="C448" s="322"/>
      <c r="D448" s="322"/>
    </row>
    <row r="449" spans="1:4" ht="15">
      <c r="A449" s="319"/>
      <c r="B449" s="333"/>
      <c r="C449" s="322"/>
      <c r="D449" s="322"/>
    </row>
    <row r="450" spans="1:4" ht="15">
      <c r="A450" s="319"/>
      <c r="B450" s="333"/>
      <c r="C450" s="322"/>
      <c r="D450" s="322"/>
    </row>
    <row r="451" spans="1:4" ht="15">
      <c r="A451" s="319"/>
      <c r="B451" s="333"/>
      <c r="C451" s="322"/>
      <c r="D451" s="322"/>
    </row>
    <row r="452" spans="1:4" ht="15">
      <c r="A452" s="319"/>
      <c r="B452" s="333"/>
      <c r="C452" s="322"/>
      <c r="D452" s="322"/>
    </row>
    <row r="453" spans="1:4" ht="15">
      <c r="A453" s="319"/>
      <c r="B453" s="333"/>
      <c r="C453" s="322"/>
      <c r="D453" s="322"/>
    </row>
    <row r="454" spans="1:4" ht="15">
      <c r="A454" s="319"/>
      <c r="B454" s="333"/>
      <c r="C454" s="322"/>
      <c r="D454" s="322"/>
    </row>
    <row r="455" spans="1:4" ht="15">
      <c r="A455" s="319"/>
      <c r="B455" s="333"/>
      <c r="C455" s="322"/>
      <c r="D455" s="322"/>
    </row>
    <row r="456" spans="1:4" ht="15">
      <c r="A456" s="319"/>
      <c r="B456" s="333"/>
      <c r="C456" s="322"/>
      <c r="D456" s="322"/>
    </row>
    <row r="457" spans="1:4" ht="15">
      <c r="A457" s="319"/>
      <c r="B457" s="333"/>
      <c r="C457" s="322"/>
      <c r="D457" s="322"/>
    </row>
    <row r="458" spans="1:4" ht="15">
      <c r="A458" s="319"/>
      <c r="B458" s="333"/>
      <c r="C458" s="322"/>
      <c r="D458" s="322"/>
    </row>
    <row r="459" spans="1:4" ht="15">
      <c r="A459" s="319"/>
      <c r="B459" s="333"/>
      <c r="C459" s="322"/>
      <c r="D459" s="322"/>
    </row>
    <row r="460" spans="1:4" ht="15">
      <c r="A460" s="319"/>
      <c r="B460" s="333"/>
      <c r="C460" s="322"/>
      <c r="D460" s="322"/>
    </row>
    <row r="461" spans="1:4" ht="15">
      <c r="A461" s="319"/>
      <c r="B461" s="333"/>
      <c r="C461" s="322"/>
      <c r="D461" s="322"/>
    </row>
    <row r="462" spans="1:4" ht="15">
      <c r="A462" s="319"/>
      <c r="B462" s="333"/>
      <c r="C462" s="322"/>
      <c r="D462" s="322"/>
    </row>
    <row r="463" spans="1:4" ht="15">
      <c r="A463" s="319"/>
      <c r="B463" s="333"/>
      <c r="C463" s="322"/>
      <c r="D463" s="322"/>
    </row>
    <row r="464" spans="1:4" ht="15">
      <c r="A464" s="319"/>
      <c r="B464" s="333"/>
      <c r="C464" s="322"/>
      <c r="D464" s="322"/>
    </row>
    <row r="465" spans="1:4" ht="15">
      <c r="A465" s="319"/>
      <c r="B465" s="333"/>
      <c r="C465" s="322"/>
      <c r="D465" s="322"/>
    </row>
    <row r="466" spans="1:4" ht="15">
      <c r="A466" s="319"/>
      <c r="B466" s="333"/>
      <c r="C466" s="322"/>
      <c r="D466" s="322"/>
    </row>
    <row r="467" spans="1:4" ht="15">
      <c r="A467" s="319"/>
      <c r="B467" s="333"/>
      <c r="C467" s="322"/>
      <c r="D467" s="322"/>
    </row>
    <row r="468" spans="1:4" ht="15">
      <c r="A468" s="319"/>
      <c r="B468" s="333"/>
      <c r="C468" s="322"/>
      <c r="D468" s="322"/>
    </row>
    <row r="469" spans="1:4" ht="15">
      <c r="A469" s="319"/>
      <c r="B469" s="333"/>
      <c r="C469" s="322"/>
      <c r="D469" s="322"/>
    </row>
    <row r="470" spans="1:4" ht="15">
      <c r="A470" s="319"/>
      <c r="B470" s="333"/>
      <c r="C470" s="322"/>
      <c r="D470" s="322"/>
    </row>
    <row r="471" spans="1:4" ht="15">
      <c r="A471" s="319"/>
      <c r="B471" s="333"/>
      <c r="C471" s="322"/>
      <c r="D471" s="322"/>
    </row>
    <row r="472" spans="1:4" ht="15">
      <c r="A472" s="319"/>
      <c r="B472" s="333"/>
      <c r="C472" s="322"/>
      <c r="D472" s="322"/>
    </row>
    <row r="473" spans="1:4" ht="15">
      <c r="A473" s="319"/>
      <c r="B473" s="333"/>
      <c r="C473" s="322"/>
      <c r="D473" s="322"/>
    </row>
    <row r="474" spans="1:4" ht="15">
      <c r="A474" s="319"/>
      <c r="B474" s="333"/>
      <c r="C474" s="322"/>
      <c r="D474" s="322"/>
    </row>
    <row r="475" spans="1:4" ht="15">
      <c r="A475" s="319"/>
      <c r="B475" s="333"/>
      <c r="C475" s="322"/>
      <c r="D475" s="322"/>
    </row>
    <row r="476" spans="1:4" ht="15">
      <c r="A476" s="319"/>
      <c r="B476" s="333"/>
      <c r="C476" s="322"/>
      <c r="D476" s="322"/>
    </row>
    <row r="477" spans="1:4" ht="15">
      <c r="A477" s="319"/>
      <c r="B477" s="333"/>
      <c r="C477" s="322"/>
      <c r="D477" s="322"/>
    </row>
    <row r="478" spans="1:4" ht="15">
      <c r="A478" s="319"/>
      <c r="B478" s="333"/>
      <c r="C478" s="322"/>
      <c r="D478" s="322"/>
    </row>
    <row r="479" spans="1:4" ht="15">
      <c r="A479" s="319"/>
      <c r="B479" s="333"/>
      <c r="C479" s="322"/>
      <c r="D479" s="322"/>
    </row>
    <row r="480" spans="1:4" ht="15">
      <c r="A480" s="319"/>
      <c r="B480" s="333"/>
      <c r="C480" s="322"/>
      <c r="D480" s="322"/>
    </row>
    <row r="481" spans="1:4" ht="15">
      <c r="A481" s="319"/>
      <c r="B481" s="333"/>
      <c r="C481" s="322"/>
      <c r="D481" s="322"/>
    </row>
    <row r="482" spans="1:4" ht="15">
      <c r="A482" s="319"/>
      <c r="B482" s="333"/>
      <c r="C482" s="322"/>
      <c r="D482" s="322"/>
    </row>
    <row r="483" spans="1:4" ht="15">
      <c r="A483" s="319"/>
      <c r="B483" s="333"/>
      <c r="C483" s="322"/>
      <c r="D483" s="322"/>
    </row>
    <row r="484" spans="1:4" ht="15">
      <c r="A484" s="319"/>
      <c r="B484" s="333"/>
      <c r="C484" s="322"/>
      <c r="D484" s="322"/>
    </row>
    <row r="485" spans="1:4" ht="15">
      <c r="A485" s="319"/>
      <c r="B485" s="333"/>
      <c r="C485" s="322"/>
      <c r="D485" s="322"/>
    </row>
    <row r="486" spans="1:4" ht="15">
      <c r="A486" s="319"/>
      <c r="B486" s="333"/>
      <c r="C486" s="322"/>
      <c r="D486" s="322"/>
    </row>
    <row r="487" spans="1:4" ht="15">
      <c r="A487" s="319"/>
      <c r="B487" s="333"/>
      <c r="C487" s="322"/>
      <c r="D487" s="322"/>
    </row>
    <row r="488" spans="1:4" ht="15">
      <c r="A488" s="319"/>
      <c r="B488" s="333"/>
      <c r="C488" s="322"/>
      <c r="D488" s="322"/>
    </row>
    <row r="489" spans="1:4" ht="15">
      <c r="A489" s="319"/>
      <c r="B489" s="333"/>
      <c r="C489" s="322"/>
      <c r="D489" s="322"/>
    </row>
    <row r="490" spans="1:4" ht="15">
      <c r="A490" s="319"/>
      <c r="B490" s="333"/>
      <c r="C490" s="322"/>
      <c r="D490" s="322"/>
    </row>
    <row r="491" spans="1:4" ht="15">
      <c r="A491" s="319"/>
      <c r="B491" s="333"/>
      <c r="C491" s="322"/>
      <c r="D491" s="322"/>
    </row>
    <row r="492" spans="1:4" ht="15">
      <c r="A492" s="319"/>
      <c r="B492" s="333"/>
      <c r="C492" s="322"/>
      <c r="D492" s="322"/>
    </row>
    <row r="493" spans="1:4" ht="15">
      <c r="A493" s="319"/>
      <c r="B493" s="333"/>
      <c r="C493" s="322"/>
      <c r="D493" s="322"/>
    </row>
    <row r="494" spans="1:4" ht="15">
      <c r="A494" s="319"/>
      <c r="B494" s="333"/>
      <c r="C494" s="322"/>
      <c r="D494" s="322"/>
    </row>
    <row r="495" spans="1:4" ht="15">
      <c r="A495" s="319"/>
      <c r="B495" s="333"/>
      <c r="C495" s="322"/>
      <c r="D495" s="322"/>
    </row>
    <row r="496" spans="1:4" ht="15">
      <c r="A496" s="319"/>
      <c r="B496" s="333"/>
      <c r="C496" s="322"/>
      <c r="D496" s="322"/>
    </row>
    <row r="497" spans="1:4" ht="15">
      <c r="A497" s="319"/>
      <c r="B497" s="333"/>
      <c r="C497" s="322"/>
      <c r="D497" s="322"/>
    </row>
    <row r="498" spans="1:4" ht="15">
      <c r="A498" s="319"/>
      <c r="B498" s="333"/>
      <c r="C498" s="322"/>
      <c r="D498" s="322"/>
    </row>
    <row r="499" spans="1:4" ht="15">
      <c r="A499" s="319"/>
      <c r="B499" s="333"/>
      <c r="C499" s="322"/>
      <c r="D499" s="322"/>
    </row>
    <row r="500" spans="1:4" ht="15">
      <c r="A500" s="319"/>
      <c r="B500" s="333"/>
      <c r="C500" s="322"/>
      <c r="D500" s="322"/>
    </row>
    <row r="501" spans="1:4" ht="15">
      <c r="A501" s="319"/>
      <c r="B501" s="333"/>
      <c r="C501" s="322"/>
      <c r="D501" s="322"/>
    </row>
    <row r="502" spans="1:4" ht="15">
      <c r="A502" s="319"/>
      <c r="B502" s="333"/>
      <c r="C502" s="322"/>
      <c r="D502" s="322"/>
    </row>
    <row r="503" spans="1:4" ht="15">
      <c r="A503" s="319"/>
      <c r="B503" s="333"/>
      <c r="C503" s="322"/>
      <c r="D503" s="322"/>
    </row>
    <row r="504" spans="1:4" ht="15">
      <c r="A504" s="319"/>
      <c r="B504" s="333"/>
      <c r="C504" s="322"/>
      <c r="D504" s="322"/>
    </row>
    <row r="505" spans="1:4" ht="15">
      <c r="A505" s="319"/>
      <c r="B505" s="333"/>
      <c r="C505" s="322"/>
      <c r="D505" s="322"/>
    </row>
    <row r="506" spans="1:4" ht="15">
      <c r="A506" s="319"/>
      <c r="B506" s="333"/>
      <c r="C506" s="322"/>
      <c r="D506" s="322"/>
    </row>
    <row r="507" spans="1:4" ht="15">
      <c r="A507" s="319"/>
      <c r="B507" s="333"/>
      <c r="C507" s="322"/>
      <c r="D507" s="322"/>
    </row>
    <row r="508" spans="1:4" ht="15">
      <c r="A508" s="319"/>
      <c r="B508" s="333"/>
      <c r="C508" s="322"/>
      <c r="D508" s="322"/>
    </row>
    <row r="509" spans="1:4" ht="15">
      <c r="A509" s="319"/>
      <c r="B509" s="333"/>
      <c r="C509" s="322"/>
      <c r="D509" s="322"/>
    </row>
    <row r="510" spans="1:4" ht="15">
      <c r="A510" s="319"/>
      <c r="B510" s="333"/>
      <c r="C510" s="322"/>
      <c r="D510" s="322"/>
    </row>
    <row r="511" spans="1:4" ht="15">
      <c r="A511" s="319"/>
      <c r="B511" s="333"/>
      <c r="C511" s="322"/>
      <c r="D511" s="322"/>
    </row>
    <row r="512" spans="1:4" ht="15">
      <c r="A512" s="319"/>
      <c r="B512" s="333"/>
      <c r="C512" s="322"/>
      <c r="D512" s="322"/>
    </row>
    <row r="513" spans="1:4" ht="15">
      <c r="A513" s="319"/>
      <c r="B513" s="333"/>
      <c r="C513" s="322"/>
      <c r="D513" s="322"/>
    </row>
    <row r="514" spans="1:4" ht="15">
      <c r="A514" s="319"/>
      <c r="B514" s="333"/>
      <c r="C514" s="322"/>
      <c r="D514" s="322"/>
    </row>
    <row r="515" spans="1:4" ht="15">
      <c r="A515" s="319"/>
      <c r="B515" s="333"/>
      <c r="C515" s="322"/>
      <c r="D515" s="322"/>
    </row>
    <row r="516" spans="1:4" ht="15">
      <c r="A516" s="319"/>
      <c r="B516" s="333"/>
      <c r="C516" s="322"/>
      <c r="D516" s="322"/>
    </row>
    <row r="517" spans="1:4" ht="15">
      <c r="A517" s="319"/>
      <c r="B517" s="333"/>
      <c r="C517" s="322"/>
      <c r="D517" s="322"/>
    </row>
    <row r="518" spans="1:4" ht="15">
      <c r="A518" s="319"/>
      <c r="B518" s="333"/>
      <c r="C518" s="322"/>
      <c r="D518" s="322"/>
    </row>
    <row r="519" spans="1:4" ht="15">
      <c r="A519" s="319"/>
      <c r="B519" s="333"/>
      <c r="C519" s="322"/>
      <c r="D519" s="322"/>
    </row>
    <row r="520" spans="1:4" ht="15">
      <c r="A520" s="319"/>
      <c r="B520" s="333"/>
      <c r="C520" s="322"/>
      <c r="D520" s="322"/>
    </row>
    <row r="521" spans="1:4" ht="15">
      <c r="A521" s="319"/>
      <c r="B521" s="333"/>
      <c r="C521" s="322"/>
      <c r="D521" s="322"/>
    </row>
    <row r="522" spans="1:4" ht="15">
      <c r="A522" s="319"/>
      <c r="B522" s="333"/>
      <c r="C522" s="322"/>
      <c r="D522" s="322"/>
    </row>
    <row r="523" spans="1:4" ht="15">
      <c r="A523" s="319"/>
      <c r="B523" s="333"/>
      <c r="C523" s="322"/>
      <c r="D523" s="322"/>
    </row>
    <row r="524" spans="1:4" ht="15">
      <c r="A524" s="319"/>
      <c r="B524" s="333"/>
      <c r="C524" s="322"/>
      <c r="D524" s="322"/>
    </row>
    <row r="525" spans="1:4" ht="15">
      <c r="A525" s="319"/>
      <c r="B525" s="333"/>
      <c r="C525" s="322"/>
      <c r="D525" s="322"/>
    </row>
    <row r="526" spans="1:4" ht="15">
      <c r="A526" s="319"/>
      <c r="B526" s="333"/>
      <c r="C526" s="322"/>
      <c r="D526" s="322"/>
    </row>
    <row r="527" spans="1:4" ht="15">
      <c r="A527" s="319"/>
      <c r="B527" s="333"/>
      <c r="C527" s="322"/>
      <c r="D527" s="322"/>
    </row>
    <row r="528" spans="1:4" ht="15">
      <c r="A528" s="319"/>
      <c r="B528" s="333"/>
      <c r="C528" s="322"/>
      <c r="D528" s="322"/>
    </row>
    <row r="529" spans="1:4" ht="15">
      <c r="A529" s="319"/>
      <c r="B529" s="333"/>
      <c r="C529" s="322"/>
      <c r="D529" s="322"/>
    </row>
    <row r="530" spans="1:4" ht="15">
      <c r="A530" s="319"/>
      <c r="B530" s="333"/>
      <c r="C530" s="322"/>
      <c r="D530" s="322"/>
    </row>
    <row r="531" spans="1:4" ht="15">
      <c r="A531" s="319"/>
      <c r="B531" s="333"/>
      <c r="C531" s="322"/>
      <c r="D531" s="322"/>
    </row>
    <row r="532" spans="1:4" ht="15">
      <c r="A532" s="319"/>
      <c r="B532" s="333"/>
      <c r="C532" s="322"/>
      <c r="D532" s="322"/>
    </row>
    <row r="533" spans="1:4" ht="15">
      <c r="A533" s="319"/>
      <c r="B533" s="333"/>
      <c r="C533" s="322"/>
      <c r="D533" s="322"/>
    </row>
    <row r="534" spans="1:4" ht="15">
      <c r="A534" s="319"/>
      <c r="B534" s="333"/>
      <c r="C534" s="322"/>
      <c r="D534" s="322"/>
    </row>
    <row r="535" spans="1:4" ht="15">
      <c r="A535" s="319"/>
      <c r="B535" s="333"/>
      <c r="C535" s="322"/>
      <c r="D535" s="322"/>
    </row>
    <row r="536" spans="1:4" ht="15">
      <c r="A536" s="319"/>
      <c r="B536" s="333"/>
      <c r="C536" s="322"/>
      <c r="D536" s="322"/>
    </row>
    <row r="537" spans="1:4" ht="15">
      <c r="A537" s="319"/>
      <c r="B537" s="333"/>
      <c r="C537" s="322"/>
      <c r="D537" s="322"/>
    </row>
    <row r="538" spans="1:4" ht="15">
      <c r="A538" s="319"/>
      <c r="B538" s="333"/>
      <c r="C538" s="322"/>
      <c r="D538" s="322"/>
    </row>
    <row r="539" spans="1:4" ht="15">
      <c r="A539" s="319"/>
      <c r="B539" s="333"/>
      <c r="C539" s="322"/>
      <c r="D539" s="322"/>
    </row>
    <row r="540" spans="1:4" ht="15">
      <c r="A540" s="319"/>
      <c r="B540" s="333"/>
      <c r="C540" s="322"/>
      <c r="D540" s="322"/>
    </row>
    <row r="541" spans="1:4" ht="15">
      <c r="A541" s="319"/>
      <c r="B541" s="333"/>
      <c r="C541" s="322"/>
      <c r="D541" s="322"/>
    </row>
    <row r="542" spans="1:4" ht="15">
      <c r="A542" s="319"/>
      <c r="B542" s="333"/>
      <c r="C542" s="322"/>
      <c r="D542" s="322"/>
    </row>
    <row r="543" spans="1:4" ht="15">
      <c r="A543" s="319"/>
      <c r="B543" s="333"/>
      <c r="C543" s="322"/>
      <c r="D543" s="322"/>
    </row>
    <row r="544" spans="1:4" ht="15">
      <c r="A544" s="319"/>
      <c r="B544" s="333"/>
      <c r="C544" s="322"/>
      <c r="D544" s="322"/>
    </row>
    <row r="545" spans="1:4" ht="15">
      <c r="A545" s="319"/>
      <c r="B545" s="333"/>
      <c r="C545" s="322"/>
      <c r="D545" s="322"/>
    </row>
    <row r="546" spans="1:4" ht="15">
      <c r="A546" s="319"/>
      <c r="B546" s="333"/>
      <c r="C546" s="322"/>
      <c r="D546" s="322"/>
    </row>
    <row r="547" spans="1:4" ht="15">
      <c r="A547" s="319"/>
      <c r="B547" s="333"/>
      <c r="C547" s="322"/>
      <c r="D547" s="322"/>
    </row>
    <row r="548" spans="1:4" ht="15">
      <c r="A548" s="319"/>
      <c r="B548" s="333"/>
      <c r="C548" s="322"/>
      <c r="D548" s="322"/>
    </row>
    <row r="549" spans="1:4" ht="15">
      <c r="A549" s="319"/>
      <c r="B549" s="333"/>
      <c r="C549" s="322"/>
      <c r="D549" s="322"/>
    </row>
    <row r="550" spans="1:4" ht="15">
      <c r="A550" s="319"/>
      <c r="B550" s="333"/>
      <c r="C550" s="322"/>
      <c r="D550" s="322"/>
    </row>
    <row r="551" spans="1:4" ht="15">
      <c r="A551" s="319"/>
      <c r="B551" s="333"/>
      <c r="C551" s="322"/>
      <c r="D551" s="322"/>
    </row>
    <row r="552" spans="1:4" ht="15">
      <c r="A552" s="319"/>
      <c r="B552" s="333"/>
      <c r="C552" s="322"/>
      <c r="D552" s="322"/>
    </row>
    <row r="553" spans="1:4" ht="15">
      <c r="A553" s="319"/>
      <c r="B553" s="333"/>
      <c r="C553" s="322"/>
      <c r="D553" s="322"/>
    </row>
    <row r="554" spans="1:4" ht="15">
      <c r="A554" s="319"/>
      <c r="B554" s="333"/>
      <c r="C554" s="322"/>
      <c r="D554" s="322"/>
    </row>
    <row r="555" spans="1:4" ht="15">
      <c r="A555" s="319"/>
      <c r="B555" s="333"/>
      <c r="C555" s="322"/>
      <c r="D555" s="322"/>
    </row>
    <row r="556" spans="1:4" ht="15">
      <c r="A556" s="319"/>
      <c r="B556" s="333"/>
      <c r="C556" s="322"/>
      <c r="D556" s="322"/>
    </row>
    <row r="557" spans="1:4" ht="15">
      <c r="A557" s="319"/>
      <c r="B557" s="333"/>
      <c r="C557" s="322"/>
      <c r="D557" s="322"/>
    </row>
    <row r="558" spans="1:4" ht="15">
      <c r="A558" s="319"/>
      <c r="B558" s="333"/>
      <c r="C558" s="322"/>
      <c r="D558" s="322"/>
    </row>
    <row r="559" spans="1:4" ht="15">
      <c r="A559" s="319"/>
      <c r="B559" s="333"/>
      <c r="C559" s="322"/>
      <c r="D559" s="322"/>
    </row>
    <row r="560" spans="1:4" ht="15">
      <c r="A560" s="319"/>
      <c r="B560" s="333"/>
      <c r="C560" s="322"/>
      <c r="D560" s="322"/>
    </row>
    <row r="561" spans="1:4" ht="15">
      <c r="A561" s="319"/>
      <c r="B561" s="333"/>
      <c r="C561" s="322"/>
      <c r="D561" s="322"/>
    </row>
    <row r="562" spans="1:4" ht="15">
      <c r="A562" s="319"/>
      <c r="B562" s="333"/>
      <c r="C562" s="322"/>
      <c r="D562" s="322"/>
    </row>
    <row r="563" spans="1:4" ht="15">
      <c r="A563" s="319"/>
      <c r="B563" s="333"/>
      <c r="C563" s="322"/>
      <c r="D563" s="322"/>
    </row>
    <row r="564" spans="1:4" ht="15">
      <c r="A564" s="319"/>
      <c r="B564" s="333"/>
      <c r="C564" s="322"/>
      <c r="D564" s="322"/>
    </row>
    <row r="565" spans="1:4" ht="15">
      <c r="A565" s="319"/>
      <c r="B565" s="333"/>
      <c r="C565" s="322"/>
      <c r="D565" s="322"/>
    </row>
    <row r="566" spans="1:4" ht="15">
      <c r="A566" s="319"/>
      <c r="B566" s="333"/>
      <c r="C566" s="322"/>
      <c r="D566" s="322"/>
    </row>
    <row r="567" spans="1:4" ht="15">
      <c r="A567" s="319"/>
      <c r="B567" s="333"/>
      <c r="C567" s="322"/>
      <c r="D567" s="322"/>
    </row>
    <row r="568" spans="1:4" ht="15">
      <c r="A568" s="319"/>
      <c r="B568" s="333"/>
      <c r="C568" s="322"/>
      <c r="D568" s="322"/>
    </row>
    <row r="569" spans="1:4" ht="15">
      <c r="A569" s="319"/>
      <c r="B569" s="333"/>
      <c r="C569" s="322"/>
      <c r="D569" s="322"/>
    </row>
    <row r="570" spans="1:4" ht="15">
      <c r="A570" s="319"/>
      <c r="B570" s="333"/>
      <c r="C570" s="322"/>
      <c r="D570" s="322"/>
    </row>
    <row r="571" spans="1:4" ht="15">
      <c r="A571" s="319"/>
      <c r="B571" s="333"/>
      <c r="C571" s="322"/>
      <c r="D571" s="322"/>
    </row>
    <row r="572" spans="1:4" ht="15">
      <c r="A572" s="319"/>
      <c r="B572" s="333"/>
      <c r="C572" s="322"/>
      <c r="D572" s="322"/>
    </row>
    <row r="573" spans="1:4" ht="15">
      <c r="A573" s="319"/>
      <c r="B573" s="333"/>
      <c r="C573" s="322"/>
      <c r="D573" s="322"/>
    </row>
    <row r="574" spans="1:4" ht="15">
      <c r="A574" s="319"/>
      <c r="B574" s="333"/>
      <c r="C574" s="322"/>
      <c r="D574" s="322"/>
    </row>
    <row r="575" spans="1:4" ht="15">
      <c r="A575" s="319"/>
      <c r="B575" s="333"/>
      <c r="C575" s="322"/>
      <c r="D575" s="322"/>
    </row>
    <row r="576" spans="1:4" ht="15">
      <c r="A576" s="319"/>
      <c r="B576" s="333"/>
      <c r="C576" s="322"/>
      <c r="D576" s="322"/>
    </row>
    <row r="577" spans="1:4" ht="15">
      <c r="A577" s="319"/>
      <c r="B577" s="333"/>
      <c r="C577" s="322"/>
      <c r="D577" s="322"/>
    </row>
    <row r="578" spans="1:4" ht="15">
      <c r="A578" s="319"/>
      <c r="B578" s="333"/>
      <c r="C578" s="322"/>
      <c r="D578" s="322"/>
    </row>
    <row r="579" spans="1:4" ht="15">
      <c r="A579" s="319"/>
      <c r="B579" s="333"/>
      <c r="C579" s="322"/>
      <c r="D579" s="322"/>
    </row>
    <row r="580" spans="1:4" ht="15">
      <c r="A580" s="319"/>
      <c r="B580" s="333"/>
      <c r="C580" s="322"/>
      <c r="D580" s="322"/>
    </row>
    <row r="581" spans="1:4" ht="15">
      <c r="A581" s="319"/>
      <c r="B581" s="333"/>
      <c r="C581" s="322"/>
      <c r="D581" s="322"/>
    </row>
    <row r="582" spans="1:4" ht="15">
      <c r="A582" s="319"/>
      <c r="B582" s="333"/>
      <c r="C582" s="322"/>
      <c r="D582" s="322"/>
    </row>
    <row r="583" spans="1:4" ht="15">
      <c r="A583" s="319"/>
      <c r="B583" s="333"/>
      <c r="C583" s="322"/>
      <c r="D583" s="322"/>
    </row>
    <row r="584" spans="1:4" ht="15">
      <c r="A584" s="319"/>
      <c r="B584" s="333"/>
      <c r="C584" s="322"/>
      <c r="D584" s="322"/>
    </row>
    <row r="585" spans="1:4" ht="15">
      <c r="A585" s="319"/>
      <c r="B585" s="333"/>
      <c r="C585" s="322"/>
      <c r="D585" s="322"/>
    </row>
    <row r="586" spans="1:4" ht="15">
      <c r="A586" s="319"/>
      <c r="B586" s="333"/>
      <c r="C586" s="322"/>
      <c r="D586" s="322"/>
    </row>
    <row r="587" spans="1:4" ht="15">
      <c r="A587" s="319"/>
      <c r="B587" s="333"/>
      <c r="C587" s="322"/>
      <c r="D587" s="322"/>
    </row>
    <row r="588" spans="1:4" ht="15">
      <c r="A588" s="319"/>
      <c r="B588" s="333"/>
      <c r="C588" s="322"/>
      <c r="D588" s="322"/>
    </row>
    <row r="589" spans="1:4" ht="15">
      <c r="A589" s="319"/>
      <c r="B589" s="333"/>
      <c r="C589" s="322"/>
      <c r="D589" s="322"/>
    </row>
    <row r="590" spans="1:4" ht="15">
      <c r="A590" s="319"/>
      <c r="B590" s="333"/>
      <c r="C590" s="322"/>
      <c r="D590" s="322"/>
    </row>
    <row r="591" spans="1:4" ht="15">
      <c r="A591" s="319"/>
      <c r="B591" s="333"/>
      <c r="C591" s="322"/>
      <c r="D591" s="322"/>
    </row>
    <row r="592" spans="1:4" ht="15">
      <c r="A592" s="319"/>
      <c r="B592" s="333"/>
      <c r="C592" s="322"/>
      <c r="D592" s="322"/>
    </row>
    <row r="593" spans="1:4" ht="15">
      <c r="A593" s="319"/>
      <c r="B593" s="333"/>
      <c r="C593" s="322"/>
      <c r="D593" s="322"/>
    </row>
    <row r="594" spans="1:4" ht="15">
      <c r="A594" s="319"/>
      <c r="B594" s="333"/>
      <c r="C594" s="322"/>
      <c r="D594" s="322"/>
    </row>
    <row r="595" spans="1:4" ht="15">
      <c r="A595" s="319"/>
      <c r="B595" s="333"/>
      <c r="C595" s="322"/>
      <c r="D595" s="322"/>
    </row>
    <row r="596" spans="1:4" ht="15">
      <c r="A596" s="319"/>
      <c r="B596" s="333"/>
      <c r="C596" s="322"/>
      <c r="D596" s="322"/>
    </row>
    <row r="597" spans="1:4" ht="15">
      <c r="A597" s="319"/>
      <c r="B597" s="333"/>
      <c r="C597" s="322"/>
      <c r="D597" s="322"/>
    </row>
    <row r="598" spans="1:4" ht="15">
      <c r="A598" s="319"/>
      <c r="B598" s="333"/>
      <c r="C598" s="322"/>
      <c r="D598" s="322"/>
    </row>
    <row r="599" spans="1:4" ht="15">
      <c r="A599" s="319"/>
      <c r="B599" s="333"/>
      <c r="C599" s="322"/>
      <c r="D599" s="322"/>
    </row>
    <row r="600" spans="1:4" ht="15">
      <c r="A600" s="319"/>
      <c r="B600" s="333"/>
      <c r="C600" s="322"/>
      <c r="D600" s="322"/>
    </row>
    <row r="601" spans="1:4" ht="15">
      <c r="A601" s="319"/>
      <c r="B601" s="333"/>
      <c r="C601" s="322"/>
      <c r="D601" s="322"/>
    </row>
    <row r="602" spans="1:4" ht="15">
      <c r="A602" s="319"/>
      <c r="B602" s="333"/>
      <c r="C602" s="322"/>
      <c r="D602" s="322"/>
    </row>
    <row r="603" spans="1:4" ht="15">
      <c r="A603" s="319"/>
      <c r="B603" s="333"/>
      <c r="C603" s="322"/>
      <c r="D603" s="322"/>
    </row>
    <row r="604" spans="1:4" ht="15">
      <c r="A604" s="319"/>
      <c r="B604" s="333"/>
      <c r="C604" s="322"/>
      <c r="D604" s="322"/>
    </row>
    <row r="605" spans="1:4" ht="15">
      <c r="A605" s="319"/>
      <c r="B605" s="333"/>
      <c r="C605" s="322"/>
      <c r="D605" s="322"/>
    </row>
    <row r="606" spans="1:4" ht="15">
      <c r="A606" s="319"/>
      <c r="B606" s="333"/>
      <c r="C606" s="322"/>
      <c r="D606" s="322"/>
    </row>
    <row r="607" spans="1:4" ht="15">
      <c r="A607" s="319"/>
      <c r="B607" s="333"/>
      <c r="C607" s="322"/>
      <c r="D607" s="322"/>
    </row>
    <row r="608" spans="1:4" ht="15">
      <c r="A608" s="319"/>
      <c r="B608" s="333"/>
      <c r="C608" s="322"/>
      <c r="D608" s="322"/>
    </row>
    <row r="609" spans="1:4" ht="15">
      <c r="A609" s="319"/>
      <c r="B609" s="333"/>
      <c r="C609" s="322"/>
      <c r="D609" s="322"/>
    </row>
    <row r="610" spans="1:4" ht="15">
      <c r="A610" s="319"/>
      <c r="B610" s="333"/>
      <c r="C610" s="322"/>
      <c r="D610" s="322"/>
    </row>
    <row r="611" spans="1:4" ht="15">
      <c r="A611" s="319"/>
      <c r="B611" s="333"/>
      <c r="C611" s="322"/>
      <c r="D611" s="322"/>
    </row>
    <row r="612" spans="1:4" ht="15">
      <c r="A612" s="319"/>
      <c r="B612" s="333"/>
      <c r="C612" s="322"/>
      <c r="D612" s="322"/>
    </row>
    <row r="613" spans="1:4" ht="15">
      <c r="A613" s="319"/>
      <c r="B613" s="333"/>
      <c r="C613" s="322"/>
      <c r="D613" s="322"/>
    </row>
    <row r="614" spans="1:4" ht="15">
      <c r="A614" s="319"/>
      <c r="B614" s="333"/>
      <c r="C614" s="322"/>
      <c r="D614" s="322"/>
    </row>
    <row r="615" spans="1:4" ht="15">
      <c r="A615" s="319"/>
      <c r="B615" s="333"/>
      <c r="C615" s="322"/>
      <c r="D615" s="322"/>
    </row>
    <row r="616" spans="1:4" ht="15">
      <c r="A616" s="319"/>
      <c r="B616" s="333"/>
      <c r="C616" s="322"/>
      <c r="D616" s="322"/>
    </row>
    <row r="617" spans="1:4" ht="15">
      <c r="A617" s="319"/>
      <c r="B617" s="333"/>
      <c r="C617" s="322"/>
      <c r="D617" s="322"/>
    </row>
    <row r="618" spans="1:4" ht="15">
      <c r="A618" s="319"/>
      <c r="B618" s="333"/>
      <c r="C618" s="322"/>
      <c r="D618" s="322"/>
    </row>
    <row r="619" spans="1:4" ht="15">
      <c r="A619" s="319"/>
      <c r="B619" s="333"/>
      <c r="C619" s="322"/>
      <c r="D619" s="322"/>
    </row>
    <row r="620" spans="1:4" ht="15">
      <c r="A620" s="319"/>
      <c r="B620" s="333"/>
      <c r="C620" s="322"/>
      <c r="D620" s="322"/>
    </row>
    <row r="621" spans="1:4" ht="15">
      <c r="A621" s="319"/>
      <c r="B621" s="333"/>
      <c r="C621" s="322"/>
      <c r="D621" s="322"/>
    </row>
    <row r="622" spans="1:4" ht="15">
      <c r="A622" s="319"/>
      <c r="B622" s="333"/>
      <c r="C622" s="322"/>
      <c r="D622" s="322"/>
    </row>
    <row r="623" spans="1:4" ht="15">
      <c r="A623" s="319"/>
      <c r="B623" s="333"/>
      <c r="C623" s="322"/>
      <c r="D623" s="322"/>
    </row>
    <row r="624" spans="1:4" ht="15">
      <c r="A624" s="319"/>
      <c r="B624" s="333"/>
      <c r="C624" s="322"/>
      <c r="D624" s="322"/>
    </row>
    <row r="625" spans="1:4" ht="15">
      <c r="A625" s="319"/>
      <c r="B625" s="333"/>
      <c r="C625" s="322"/>
      <c r="D625" s="322"/>
    </row>
    <row r="626" spans="1:4" ht="15">
      <c r="A626" s="319"/>
      <c r="B626" s="333"/>
      <c r="C626" s="322"/>
      <c r="D626" s="322"/>
    </row>
    <row r="627" spans="1:4" ht="15">
      <c r="A627" s="319"/>
      <c r="B627" s="333"/>
      <c r="C627" s="322"/>
      <c r="D627" s="322"/>
    </row>
    <row r="628" spans="1:4" ht="15">
      <c r="A628" s="319"/>
      <c r="B628" s="333"/>
      <c r="C628" s="322"/>
      <c r="D628" s="322"/>
    </row>
    <row r="629" spans="1:4" ht="15">
      <c r="A629" s="319"/>
      <c r="B629" s="333"/>
      <c r="C629" s="322"/>
      <c r="D629" s="322"/>
    </row>
    <row r="630" spans="1:4" ht="15">
      <c r="A630" s="319"/>
      <c r="B630" s="333"/>
      <c r="C630" s="322"/>
      <c r="D630" s="322"/>
    </row>
    <row r="631" spans="1:4" ht="15">
      <c r="A631" s="319"/>
      <c r="B631" s="333"/>
      <c r="C631" s="322"/>
      <c r="D631" s="322"/>
    </row>
    <row r="632" spans="1:4" ht="15">
      <c r="A632" s="319"/>
      <c r="B632" s="333"/>
      <c r="C632" s="322"/>
      <c r="D632" s="322"/>
    </row>
    <row r="633" spans="1:4" ht="15">
      <c r="A633" s="319"/>
      <c r="B633" s="333"/>
      <c r="C633" s="322"/>
      <c r="D633" s="322"/>
    </row>
    <row r="634" spans="1:4" ht="15">
      <c r="A634" s="319"/>
      <c r="B634" s="333"/>
      <c r="C634" s="322"/>
      <c r="D634" s="322"/>
    </row>
    <row r="635" spans="1:4" ht="15">
      <c r="A635" s="319"/>
      <c r="B635" s="333"/>
      <c r="C635" s="322"/>
      <c r="D635" s="322"/>
    </row>
    <row r="636" spans="1:4" ht="15">
      <c r="A636" s="319"/>
      <c r="B636" s="333"/>
      <c r="C636" s="322"/>
      <c r="D636" s="322"/>
    </row>
    <row r="637" spans="1:4" ht="15">
      <c r="A637" s="319"/>
      <c r="B637" s="333"/>
      <c r="C637" s="322"/>
      <c r="D637" s="322"/>
    </row>
    <row r="638" spans="1:4" ht="15">
      <c r="A638" s="319"/>
      <c r="B638" s="333"/>
      <c r="C638" s="322"/>
      <c r="D638" s="322"/>
    </row>
    <row r="639" spans="1:4" ht="15">
      <c r="A639" s="319"/>
      <c r="B639" s="333"/>
      <c r="C639" s="322"/>
      <c r="D639" s="322"/>
    </row>
    <row r="640" spans="1:4" ht="15">
      <c r="A640" s="319"/>
      <c r="B640" s="333"/>
      <c r="C640" s="322"/>
      <c r="D640" s="322"/>
    </row>
    <row r="641" spans="1:4" ht="15">
      <c r="A641" s="319"/>
      <c r="B641" s="333"/>
      <c r="C641" s="322"/>
      <c r="D641" s="322"/>
    </row>
    <row r="642" spans="1:4" ht="15">
      <c r="A642" s="319"/>
      <c r="B642" s="333"/>
      <c r="C642" s="322"/>
      <c r="D642" s="322"/>
    </row>
    <row r="643" spans="1:4" ht="15">
      <c r="A643" s="319"/>
      <c r="B643" s="333"/>
      <c r="C643" s="322"/>
      <c r="D643" s="322"/>
    </row>
    <row r="644" spans="1:4" ht="15">
      <c r="A644" s="319"/>
      <c r="B644" s="333"/>
      <c r="C644" s="322"/>
      <c r="D644" s="322"/>
    </row>
    <row r="645" spans="1:4" ht="15">
      <c r="A645" s="319"/>
      <c r="B645" s="333"/>
      <c r="C645" s="322"/>
      <c r="D645" s="322"/>
    </row>
    <row r="646" spans="1:4" ht="15">
      <c r="A646" s="319"/>
      <c r="B646" s="333"/>
      <c r="C646" s="322"/>
      <c r="D646" s="322"/>
    </row>
    <row r="647" spans="1:4" ht="15">
      <c r="A647" s="319"/>
      <c r="B647" s="333"/>
      <c r="C647" s="322"/>
      <c r="D647" s="322"/>
    </row>
    <row r="648" spans="1:4" ht="15">
      <c r="A648" s="319"/>
      <c r="B648" s="333"/>
      <c r="C648" s="322"/>
      <c r="D648" s="322"/>
    </row>
    <row r="649" spans="1:4" ht="15">
      <c r="A649" s="319"/>
      <c r="B649" s="333"/>
      <c r="C649" s="322"/>
      <c r="D649" s="322"/>
    </row>
    <row r="650" spans="1:4" ht="15">
      <c r="A650" s="319"/>
      <c r="B650" s="333"/>
      <c r="C650" s="322"/>
      <c r="D650" s="322"/>
    </row>
    <row r="651" spans="1:4" ht="15">
      <c r="A651" s="319"/>
      <c r="B651" s="333"/>
      <c r="C651" s="322"/>
      <c r="D651" s="322"/>
    </row>
    <row r="652" spans="1:4" ht="15">
      <c r="A652" s="319"/>
      <c r="B652" s="333"/>
      <c r="C652" s="322"/>
      <c r="D652" s="322"/>
    </row>
    <row r="653" spans="1:4" ht="15">
      <c r="A653" s="319"/>
      <c r="B653" s="333"/>
      <c r="C653" s="322"/>
      <c r="D653" s="322"/>
    </row>
    <row r="654" spans="1:4" ht="15">
      <c r="A654" s="319"/>
      <c r="B654" s="333"/>
      <c r="C654" s="322"/>
      <c r="D654" s="322"/>
    </row>
    <row r="655" spans="1:4" ht="15">
      <c r="A655" s="319"/>
      <c r="B655" s="333"/>
      <c r="C655" s="322"/>
      <c r="D655" s="322"/>
    </row>
    <row r="656" spans="1:4" ht="15">
      <c r="A656" s="319"/>
      <c r="B656" s="333"/>
      <c r="C656" s="322"/>
      <c r="D656" s="322"/>
    </row>
    <row r="657" spans="1:4" ht="15">
      <c r="A657" s="319"/>
      <c r="B657" s="333"/>
      <c r="C657" s="322"/>
      <c r="D657" s="322"/>
    </row>
    <row r="658" spans="1:4" ht="15">
      <c r="A658" s="319"/>
      <c r="B658" s="333"/>
      <c r="C658" s="322"/>
      <c r="D658" s="322"/>
    </row>
  </sheetData>
  <sheetProtection/>
  <autoFilter ref="A9:S81"/>
  <mergeCells count="14">
    <mergeCell ref="D7:D8"/>
    <mergeCell ref="E7:E8"/>
    <mergeCell ref="F7:F8"/>
    <mergeCell ref="H7:I7"/>
    <mergeCell ref="J7:K7"/>
    <mergeCell ref="L7:M7"/>
    <mergeCell ref="N7:N8"/>
    <mergeCell ref="H94:J94"/>
    <mergeCell ref="A1:N1"/>
    <mergeCell ref="A3:N3"/>
    <mergeCell ref="A5:N5"/>
    <mergeCell ref="A7:A8"/>
    <mergeCell ref="B7:B8"/>
    <mergeCell ref="C7:C8"/>
  </mergeCells>
  <printOptions horizontalCentered="1"/>
  <pageMargins left="0.11811023622047245" right="0.11811023622047245" top="0.3937007874015748" bottom="0.3937007874015748" header="0.4330708661417323" footer="0.1968503937007874"/>
  <pageSetup cellComments="asDisplayed" firstPageNumber="1" useFirstPageNumber="1" horizontalDpi="600" verticalDpi="600" orientation="landscape" paperSize="9" scale="87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MegaWatt.ge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subject/>
  <dc:creator>Alex &amp; Alex</dc:creator>
  <cp:keywords/>
  <dc:description>893 33 15 96</dc:description>
  <cp:lastModifiedBy>rkurbanov</cp:lastModifiedBy>
  <cp:lastPrinted>2022-02-10T19:26:06Z</cp:lastPrinted>
  <dcterms:created xsi:type="dcterms:W3CDTF">2004-08-24T15:11:32Z</dcterms:created>
  <dcterms:modified xsi:type="dcterms:W3CDTF">2022-04-18T07:44:32Z</dcterms:modified>
  <cp:category/>
  <cp:version/>
  <cp:contentType/>
  <cp:contentStatus/>
</cp:coreProperties>
</file>